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40" windowWidth="13605" windowHeight="1062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<sst xmlns="http://schemas.openxmlformats.org/spreadsheetml/2006/main" count="166" uniqueCount="113">
  <si>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</si>
  <si>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</si>
  <si>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</si>
  <si>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</si>
  <si>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</si>
  <si>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</si>
  <si>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</si>
  <si>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</si>
  <si>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</si>
  <si>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</si>
  <si>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</si>
  <si>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</si>
  <si>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</si>
  <si>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</si>
  <si>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</si>
  <si>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</si>
  <si>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</si>
  <si>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</si>
  <si>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</si>
  <si>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</si>
  <si>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</si>
  <si>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</si>
  <si>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</si>
  <si>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</si>
  <si>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</si>
  <si>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</si>
  <si>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</si>
  <si>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</si>
  <si>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</si>
  <si>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</si>
  <si>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</si>
  <si>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</si>
  <si>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</si>
  <si>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</si>
  <si>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</si>
  <si>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</si>
  <si>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</si>
  <si>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</si>
  <si>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</si>
  <si>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</si>
  <si>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</si>
  <si>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</si>
  <si>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</si>
  <si>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</si>
  <si>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</si>
  <si>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</si>
  <si>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</si>
  <si>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</si>
  <si>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</si>
  <si>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</si>
  <si>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</si>
  <si>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</si>
  <si>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</si>
  <si>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</si>
  <si>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</si>
  <si>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</si>
  <si>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</si>
  <si>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</si>
  <si>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</si>
  <si>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</si>
  <si>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</si>
  <si>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</si>
  <si>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</si>
  <si>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</si>
  <si>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</si>
  <si>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</si>
  <si>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</si>
  <si>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</si>
  <si>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</si>
  <si>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</si>
  <si>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</si>
  <si>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</si>
  <si>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</si>
  <si>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</si>
  <si>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</si>
  <si>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</si>
  <si>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</si>
  <si>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</si>
  <si>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</si>
  <si>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</si>
  <si>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</si>
  <si>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</si>
  <si>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</si>
  <si>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</si>
  <si>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</si>
  <si>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</si>
  <si>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</si>
  <si>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</si>
  <si>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</si>
  <si>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</si>
  <si>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</si>
  <si>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</si>
  <si>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</si>
  <si>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</si>
  <si>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</si>
  <si>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</si>
  <si>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</si>
  <si>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</si>
  <si>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</si>
  <si>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</si>
  <si>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</si>
  <si>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</si>
  <si>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</si>
  <si>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</si>
  <si>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</si>
  <si>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</si>
  <si>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</si>
  <si>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</si>
  <si>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</si>
  <si>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6 місяців, тис.грн.</t>
  </si>
  <si>
    <t>Відсоток виконання  плану 6 місяців</t>
  </si>
  <si>
    <t>Відхилення від  плану 6 місяців, тис.грн.</t>
  </si>
  <si>
    <t>Аналіз використання коштів загального фонду міського бюджету станом на 22.06.2018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</si>
</sst>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37" fillId="33" borderId="0" xfId="0" applyFont="1" applyFill="1" applyAlignment="1">
      <alignment/>
    </xf>
    <xf numFmtId="0" fontId="0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9" fillId="35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01"/>
          <c:w val="0.853"/>
          <c:h val="0.65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93174.79999999997</c:v>
                </c:pt>
                <c:pt idx="1">
                  <c:v>88795.00999999998</c:v>
                </c:pt>
                <c:pt idx="2">
                  <c:v>1229.5000000000002</c:v>
                </c:pt>
                <c:pt idx="3">
                  <c:v>3150.2899999999936</c:v>
                </c:pt>
              </c:numCache>
            </c:numRef>
          </c:val>
          <c:shape val="box"/>
        </c:ser>
        <c:shape val="box"/>
        <c:axId val="9937839"/>
        <c:axId val="22331688"/>
      </c:bar3DChart>
      <c:catAx>
        <c:axId val="9937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31688"/>
        <c:crosses val="autoZero"/>
        <c:auto val="1"/>
        <c:lblOffset val="100"/>
        <c:tickLblSkip val="1"/>
        <c:noMultiLvlLbl val="0"/>
      </c:catAx>
      <c:valAx>
        <c:axId val="22331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378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87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525"/>
          <c:w val="0.8435"/>
          <c:h val="0.71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829454.7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28427.59999999992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405328.69999999995</c:v>
                </c:pt>
                <c:pt idx="1">
                  <c:v>151856.9</c:v>
                </c:pt>
                <c:pt idx="2">
                  <c:v>327953.5000000001</c:v>
                </c:pt>
                <c:pt idx="3">
                  <c:v>21.3</c:v>
                </c:pt>
                <c:pt idx="4">
                  <c:v>14799.299999999997</c:v>
                </c:pt>
                <c:pt idx="5">
                  <c:v>50440.999999999985</c:v>
                </c:pt>
                <c:pt idx="6">
                  <c:v>6467.5999999999985</c:v>
                </c:pt>
                <c:pt idx="7">
                  <c:v>5645.9999999998545</c:v>
                </c:pt>
              </c:numCache>
            </c:numRef>
          </c:val>
          <c:shape val="box"/>
        </c:ser>
        <c:shape val="box"/>
        <c:axId val="66767465"/>
        <c:axId val="64036274"/>
      </c:bar3DChart>
      <c:catAx>
        <c:axId val="6676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36274"/>
        <c:crosses val="autoZero"/>
        <c:auto val="1"/>
        <c:lblOffset val="100"/>
        <c:tickLblSkip val="1"/>
        <c:noMultiLvlLbl val="0"/>
      </c:catAx>
      <c:valAx>
        <c:axId val="640362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674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19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55"/>
          <c:w val="0.9295"/>
          <c:h val="0.67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424901.8</c:v>
                </c:pt>
                <c:pt idx="1">
                  <c:v>226936.3</c:v>
                </c:pt>
                <c:pt idx="2">
                  <c:v>424901.8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184944.79999999996</c:v>
                </c:pt>
                <c:pt idx="1">
                  <c:v>123140.9</c:v>
                </c:pt>
                <c:pt idx="2">
                  <c:v>184944.79999999996</c:v>
                </c:pt>
              </c:numCache>
            </c:numRef>
          </c:val>
          <c:shape val="box"/>
        </c:ser>
        <c:shape val="box"/>
        <c:axId val="39455555"/>
        <c:axId val="19555676"/>
      </c:bar3DChart>
      <c:catAx>
        <c:axId val="3945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55676"/>
        <c:crosses val="autoZero"/>
        <c:auto val="1"/>
        <c:lblOffset val="100"/>
        <c:tickLblSkip val="1"/>
        <c:noMultiLvlLbl val="0"/>
      </c:catAx>
      <c:valAx>
        <c:axId val="19555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55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675"/>
          <c:w val="0.87025"/>
          <c:h val="0.60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10134.1</c:v>
                </c:pt>
                <c:pt idx="1">
                  <c:v>5474.700000000001</c:v>
                </c:pt>
                <c:pt idx="2">
                  <c:v>59.6</c:v>
                </c:pt>
                <c:pt idx="3">
                  <c:v>978.0999999999999</c:v>
                </c:pt>
                <c:pt idx="4">
                  <c:v>318.5</c:v>
                </c:pt>
                <c:pt idx="5">
                  <c:v>34.2</c:v>
                </c:pt>
                <c:pt idx="6">
                  <c:v>3269</c:v>
                </c:pt>
              </c:numCache>
            </c:numRef>
          </c:val>
          <c:shape val="box"/>
        </c:ser>
        <c:shape val="box"/>
        <c:axId val="41783357"/>
        <c:axId val="40505894"/>
      </c:bar3DChart>
      <c:catAx>
        <c:axId val="41783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05894"/>
        <c:crosses val="autoZero"/>
        <c:auto val="1"/>
        <c:lblOffset val="100"/>
        <c:tickLblSkip val="1"/>
        <c:noMultiLvlLbl val="0"/>
      </c:catAx>
      <c:valAx>
        <c:axId val="40505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833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1175"/>
          <c:w val="0.8635"/>
          <c:h val="0.67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13514.6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14247.699999999995</c:v>
                </c:pt>
                <c:pt idx="1">
                  <c:v>8588.2</c:v>
                </c:pt>
                <c:pt idx="3">
                  <c:v>430.40000000000003</c:v>
                </c:pt>
                <c:pt idx="4">
                  <c:v>484.8000000000001</c:v>
                </c:pt>
                <c:pt idx="5">
                  <c:v>660</c:v>
                </c:pt>
                <c:pt idx="6">
                  <c:v>4084.2999999999947</c:v>
                </c:pt>
              </c:numCache>
            </c:numRef>
          </c:val>
          <c:shape val="box"/>
        </c:ser>
        <c:shape val="box"/>
        <c:axId val="29008727"/>
        <c:axId val="59751952"/>
      </c:bar3DChart>
      <c:catAx>
        <c:axId val="2900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751952"/>
        <c:crosses val="autoZero"/>
        <c:auto val="1"/>
        <c:lblOffset val="100"/>
        <c:tickLblSkip val="2"/>
        <c:noMultiLvlLbl val="0"/>
      </c:catAx>
      <c:valAx>
        <c:axId val="59751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087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65"/>
          <c:w val="0.8775"/>
          <c:h val="0.6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1831.7</c:v>
                </c:pt>
                <c:pt idx="1">
                  <c:v>1435.7000000000003</c:v>
                </c:pt>
                <c:pt idx="3">
                  <c:v>221.89999999999995</c:v>
                </c:pt>
                <c:pt idx="4">
                  <c:v>0</c:v>
                </c:pt>
                <c:pt idx="5">
                  <c:v>174.09999999999982</c:v>
                </c:pt>
              </c:numCache>
            </c:numRef>
          </c:val>
          <c:shape val="box"/>
        </c:ser>
        <c:shape val="box"/>
        <c:axId val="896657"/>
        <c:axId val="8069914"/>
      </c:bar3DChart>
      <c:catAx>
        <c:axId val="896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69914"/>
        <c:crosses val="autoZero"/>
        <c:auto val="1"/>
        <c:lblOffset val="100"/>
        <c:tickLblSkip val="1"/>
        <c:noMultiLvlLbl val="0"/>
      </c:catAx>
      <c:valAx>
        <c:axId val="80699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66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575"/>
          <c:w val="0.85275"/>
          <c:h val="0.72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17479.900000000005</c:v>
                </c:pt>
              </c:numCache>
            </c:numRef>
          </c:val>
          <c:shape val="box"/>
        </c:ser>
        <c:shape val="box"/>
        <c:axId val="5520363"/>
        <c:axId val="49683268"/>
      </c:bar3DChart>
      <c:catAx>
        <c:axId val="552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683268"/>
        <c:crosses val="autoZero"/>
        <c:auto val="1"/>
        <c:lblOffset val="100"/>
        <c:tickLblSkip val="1"/>
        <c:noMultiLvlLbl val="0"/>
      </c:catAx>
      <c:valAx>
        <c:axId val="49683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03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125"/>
          <c:w val="0.851"/>
          <c:h val="0.58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829454.7</c:v>
                </c:pt>
                <c:pt idx="1">
                  <c:v>424901.8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9564.2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405328.69999999995</c:v>
                </c:pt>
                <c:pt idx="1">
                  <c:v>184944.79999999996</c:v>
                </c:pt>
                <c:pt idx="2">
                  <c:v>10134.1</c:v>
                </c:pt>
                <c:pt idx="3">
                  <c:v>14247.699999999995</c:v>
                </c:pt>
                <c:pt idx="4">
                  <c:v>1831.7</c:v>
                </c:pt>
                <c:pt idx="5">
                  <c:v>93174.79999999997</c:v>
                </c:pt>
                <c:pt idx="6">
                  <c:v>17479.900000000005</c:v>
                </c:pt>
              </c:numCache>
            </c:numRef>
          </c:val>
          <c:shape val="box"/>
        </c:ser>
        <c:shape val="box"/>
        <c:axId val="44496229"/>
        <c:axId val="64921742"/>
      </c:bar3DChart>
      <c:catAx>
        <c:axId val="4449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21742"/>
        <c:crosses val="autoZero"/>
        <c:auto val="1"/>
        <c:lblOffset val="100"/>
        <c:tickLblSkip val="1"/>
        <c:noMultiLvlLbl val="0"/>
      </c:catAx>
      <c:valAx>
        <c:axId val="649217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962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25"/>
          <c:y val="0.8787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2775"/>
          <c:w val="0.84125"/>
          <c:h val="0.4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45915.9</c:v>
                </c:pt>
                <c:pt idx="3">
                  <c:v>30229.899999999998</c:v>
                </c:pt>
                <c:pt idx="4">
                  <c:v>113.10000000000001</c:v>
                </c:pt>
                <c:pt idx="5">
                  <c:v>1088220.799999999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438479.9100000001</c:v>
                </c:pt>
                <c:pt idx="1">
                  <c:v>60332.799999999974</c:v>
                </c:pt>
                <c:pt idx="2">
                  <c:v>15315.299999999997</c:v>
                </c:pt>
                <c:pt idx="3">
                  <c:v>13604.4</c:v>
                </c:pt>
                <c:pt idx="4">
                  <c:v>21.3</c:v>
                </c:pt>
                <c:pt idx="5">
                  <c:v>378244.2899999996</c:v>
                </c:pt>
              </c:numCache>
            </c:numRef>
          </c:val>
          <c:shape val="box"/>
        </c:ser>
        <c:shape val="box"/>
        <c:axId val="47424767"/>
        <c:axId val="24169720"/>
      </c:bar3DChart>
      <c:catAx>
        <c:axId val="4742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169720"/>
        <c:crosses val="autoZero"/>
        <c:auto val="1"/>
        <c:lblOffset val="100"/>
        <c:tickLblSkip val="1"/>
        <c:noMultiLvlLbl val="0"/>
      </c:catAx>
      <c:valAx>
        <c:axId val="24169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24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38" sqref="J138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0" t="s">
        <v>112</v>
      </c>
      <c r="B1" s="170"/>
      <c r="C1" s="170"/>
      <c r="D1" s="170"/>
      <c r="E1" s="170"/>
      <c r="F1" s="170"/>
      <c r="G1" s="170"/>
      <c r="H1" s="170"/>
      <c r="I1" s="170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4" t="s">
        <v>40</v>
      </c>
      <c r="B3" s="177" t="s">
        <v>109</v>
      </c>
      <c r="C3" s="171" t="s">
        <v>106</v>
      </c>
      <c r="D3" s="171" t="s">
        <v>22</v>
      </c>
      <c r="E3" s="171" t="s">
        <v>21</v>
      </c>
      <c r="F3" s="171" t="s">
        <v>110</v>
      </c>
      <c r="G3" s="171" t="s">
        <v>107</v>
      </c>
      <c r="H3" s="171" t="s">
        <v>111</v>
      </c>
      <c r="I3" s="171" t="s">
        <v>108</v>
      </c>
    </row>
    <row r="4" spans="1:9" ht="24.75" customHeight="1">
      <c r="A4" s="175"/>
      <c r="B4" s="178"/>
      <c r="C4" s="172"/>
      <c r="D4" s="172"/>
      <c r="E4" s="172"/>
      <c r="F4" s="172"/>
      <c r="G4" s="172"/>
      <c r="H4" s="172"/>
      <c r="I4" s="172"/>
    </row>
    <row r="5" spans="1:10" ht="39" customHeight="1" thickBot="1">
      <c r="A5" s="176"/>
      <c r="B5" s="179"/>
      <c r="C5" s="173"/>
      <c r="D5" s="173"/>
      <c r="E5" s="173"/>
      <c r="F5" s="173"/>
      <c r="G5" s="173"/>
      <c r="H5" s="173"/>
      <c r="I5" s="173"/>
      <c r="J5" s="168"/>
    </row>
    <row r="6" spans="1:11" ht="18.75" thickBot="1">
      <c r="A6" s="20" t="s">
        <v>26</v>
      </c>
      <c r="B6" s="39">
        <f>478344.1-32.4+1663.8</f>
        <v>479975.49999999994</v>
      </c>
      <c r="C6" s="40">
        <f>826775+13431.5+510-13431.5+16-2334+4487.7</f>
        <v>829454.7</v>
      </c>
      <c r="D6" s="41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</f>
        <v>405328.69999999995</v>
      </c>
      <c r="E6" s="3">
        <f>D6/D154*100</f>
        <v>44.73836586835734</v>
      </c>
      <c r="F6" s="3">
        <f>D6/B6*100</f>
        <v>84.44778952259021</v>
      </c>
      <c r="G6" s="3">
        <f aca="true" t="shared" si="0" ref="G6:G43">D6/C6*100</f>
        <v>48.86688808924706</v>
      </c>
      <c r="H6" s="41">
        <f>B6-D6</f>
        <v>74646.79999999999</v>
      </c>
      <c r="I6" s="41">
        <f aca="true" t="shared" si="1" ref="I6:I43">C6-D6</f>
        <v>424126</v>
      </c>
      <c r="J6" s="168"/>
      <c r="K6" s="154"/>
    </row>
    <row r="7" spans="1:12" s="95" customFormat="1" ht="18.75">
      <c r="A7" s="141" t="s">
        <v>81</v>
      </c>
      <c r="B7" s="142">
        <v>163866.5</v>
      </c>
      <c r="C7" s="143">
        <v>262517.6</v>
      </c>
      <c r="D7" s="144">
        <f>8282.7+10875.2+9132.6+9963.6+4.3+9215.1+9968.6+9459.9+11450.4+9572.3+23759.4-0.1+3644+36528.9</f>
        <v>151856.9</v>
      </c>
      <c r="E7" s="145">
        <f>D7/D6*100</f>
        <v>37.46512398455871</v>
      </c>
      <c r="F7" s="145">
        <f>D7/B7*100</f>
        <v>92.67110727329869</v>
      </c>
      <c r="G7" s="145">
        <f>D7/C7*100</f>
        <v>57.84636915772504</v>
      </c>
      <c r="H7" s="144">
        <f>B7-D7</f>
        <v>12009.600000000006</v>
      </c>
      <c r="I7" s="144">
        <f t="shared" si="1"/>
        <v>110660.69999999998</v>
      </c>
      <c r="J7" s="169"/>
      <c r="K7" s="154"/>
      <c r="L7" s="140"/>
    </row>
    <row r="8" spans="1:12" s="94" customFormat="1" ht="18">
      <c r="A8" s="103" t="s">
        <v>3</v>
      </c>
      <c r="B8" s="127">
        <v>381419.8</v>
      </c>
      <c r="C8" s="128">
        <f>649221.9+8415.5-2000</f>
        <v>655637.4</v>
      </c>
      <c r="D8" s="105">
        <f>18784.8+17058.5+10875.2+340.5+963.8+9132.6+10728.8+20670.9+9963.6+30.7+4.3+37.1+20227.5+2+9968.6+19814.4+11230.1+9459.9+20.4+27982.6+1967.7+0.6+48.1+3.5+9572.3+12806.6+0.7+22472.9+23759.4-0.1+211.9+3644+36528.9+19638.7+2</f>
        <v>327953.5000000001</v>
      </c>
      <c r="E8" s="107">
        <f>D8/D6*100</f>
        <v>80.9105054737057</v>
      </c>
      <c r="F8" s="107">
        <f>D8/B8*100</f>
        <v>85.9822956228282</v>
      </c>
      <c r="G8" s="107">
        <f t="shared" si="0"/>
        <v>50.020560144982596</v>
      </c>
      <c r="H8" s="105">
        <f>B8-D8</f>
        <v>53466.29999999987</v>
      </c>
      <c r="I8" s="105">
        <f t="shared" si="1"/>
        <v>327683.8999999999</v>
      </c>
      <c r="J8" s="168"/>
      <c r="K8" s="154"/>
      <c r="L8" s="140"/>
    </row>
    <row r="9" spans="1:12" s="94" customFormat="1" ht="18">
      <c r="A9" s="103" t="s">
        <v>2</v>
      </c>
      <c r="B9" s="127">
        <v>30.8</v>
      </c>
      <c r="C9" s="128">
        <v>97.7</v>
      </c>
      <c r="D9" s="105">
        <f>3.4+5.4+0.8+4.1+3.6+0.3+0.3+3.4</f>
        <v>21.3</v>
      </c>
      <c r="E9" s="129">
        <f>D9/D6*100</f>
        <v>0.005254994279951063</v>
      </c>
      <c r="F9" s="107">
        <f>D9/B9*100</f>
        <v>69.15584415584416</v>
      </c>
      <c r="G9" s="107">
        <f t="shared" si="0"/>
        <v>21.8014329580348</v>
      </c>
      <c r="H9" s="105">
        <f aca="true" t="shared" si="2" ref="H9:H43">B9-D9</f>
        <v>9.5</v>
      </c>
      <c r="I9" s="105">
        <f t="shared" si="1"/>
        <v>76.4</v>
      </c>
      <c r="J9" s="168"/>
      <c r="K9" s="154"/>
      <c r="L9" s="140"/>
    </row>
    <row r="10" spans="1:12" s="94" customFormat="1" ht="18">
      <c r="A10" s="103" t="s">
        <v>1</v>
      </c>
      <c r="B10" s="127">
        <f>23709.2+12.6</f>
        <v>23721.8</v>
      </c>
      <c r="C10" s="128">
        <f>52816.3-8415.5-19.2</f>
        <v>44381.600000000006</v>
      </c>
      <c r="D10" s="146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</f>
        <v>14799.299999999997</v>
      </c>
      <c r="E10" s="107">
        <f>D10/D6*100</f>
        <v>3.651184828510786</v>
      </c>
      <c r="F10" s="107">
        <f aca="true" t="shared" si="3" ref="F10:F41">D10/B10*100</f>
        <v>62.38691836201299</v>
      </c>
      <c r="G10" s="107">
        <f t="shared" si="0"/>
        <v>33.34557564396055</v>
      </c>
      <c r="H10" s="105">
        <f t="shared" si="2"/>
        <v>8922.500000000002</v>
      </c>
      <c r="I10" s="105">
        <f t="shared" si="1"/>
        <v>29582.30000000001</v>
      </c>
      <c r="J10" s="168"/>
      <c r="K10" s="154"/>
      <c r="L10" s="140"/>
    </row>
    <row r="11" spans="1:12" s="94" customFormat="1" ht="18">
      <c r="A11" s="103" t="s">
        <v>0</v>
      </c>
      <c r="B11" s="127">
        <v>52258.5</v>
      </c>
      <c r="C11" s="128">
        <v>88172.4</v>
      </c>
      <c r="D11" s="147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</f>
        <v>50440.999999999985</v>
      </c>
      <c r="E11" s="107">
        <f>D11/D6*100</f>
        <v>12.44446790962495</v>
      </c>
      <c r="F11" s="107">
        <f t="shared" si="3"/>
        <v>96.52209688376051</v>
      </c>
      <c r="G11" s="107">
        <f t="shared" si="0"/>
        <v>57.20724399018285</v>
      </c>
      <c r="H11" s="105">
        <f t="shared" si="2"/>
        <v>1817.5000000000146</v>
      </c>
      <c r="I11" s="105">
        <f t="shared" si="1"/>
        <v>37731.40000000001</v>
      </c>
      <c r="J11" s="168"/>
      <c r="K11" s="154"/>
      <c r="L11" s="140"/>
    </row>
    <row r="12" spans="1:12" s="94" customFormat="1" ht="18">
      <c r="A12" s="103" t="s">
        <v>14</v>
      </c>
      <c r="B12" s="127">
        <v>6519.6</v>
      </c>
      <c r="C12" s="128">
        <v>12738</v>
      </c>
      <c r="D12" s="105">
        <f>874.5+251.8+346.3+159.7+538.5+10.6+57+168.9+31.7+165.3+10.6+439.5+199.1+10.6+10.6+19+325.9+10.6+160.6+453.5-0.1+21.1+21.1+563.9+19+160.9+282.3+19+21.1+523.5+168.9+208.4+214.2</f>
        <v>6467.5999999999985</v>
      </c>
      <c r="E12" s="107">
        <f>D12/D6*100</f>
        <v>1.5956432396719007</v>
      </c>
      <c r="F12" s="107">
        <f t="shared" si="3"/>
        <v>99.20240505552485</v>
      </c>
      <c r="G12" s="107">
        <f t="shared" si="0"/>
        <v>50.77406186214475</v>
      </c>
      <c r="H12" s="105">
        <f>B12-D12</f>
        <v>52.00000000000182</v>
      </c>
      <c r="I12" s="105">
        <f t="shared" si="1"/>
        <v>6270.4000000000015</v>
      </c>
      <c r="J12" s="168"/>
      <c r="K12" s="154"/>
      <c r="L12" s="140"/>
    </row>
    <row r="13" spans="1:12" s="94" customFormat="1" ht="18.75" thickBot="1">
      <c r="A13" s="103" t="s">
        <v>27</v>
      </c>
      <c r="B13" s="128">
        <f>B6-B8-B9-B10-B11-B12</f>
        <v>16024.999999999947</v>
      </c>
      <c r="C13" s="128">
        <f>C6-C8-C9-C10-C11-C12</f>
        <v>28427.59999999992</v>
      </c>
      <c r="D13" s="128">
        <f>D6-D8-D9-D10-D11-D12</f>
        <v>5645.9999999998545</v>
      </c>
      <c r="E13" s="107">
        <f>D13/D6*100</f>
        <v>1.3929435542067106</v>
      </c>
      <c r="F13" s="107">
        <f t="shared" si="3"/>
        <v>35.23244929797112</v>
      </c>
      <c r="G13" s="107">
        <f t="shared" si="0"/>
        <v>19.860980174196452</v>
      </c>
      <c r="H13" s="105">
        <f t="shared" si="2"/>
        <v>10379.000000000093</v>
      </c>
      <c r="I13" s="105">
        <f t="shared" si="1"/>
        <v>22781.600000000064</v>
      </c>
      <c r="J13" s="168"/>
      <c r="K13" s="154"/>
      <c r="L13" s="140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169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169"/>
      <c r="K15" s="11"/>
      <c r="L15" s="11"/>
      <c r="M15" s="11"/>
    </row>
    <row r="16" spans="1:13" s="32" customFormat="1" ht="19.5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169"/>
      <c r="K16" s="11"/>
      <c r="L16" s="11"/>
      <c r="M16" s="11"/>
    </row>
    <row r="17" spans="1:13" s="32" customFormat="1" ht="19.5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169"/>
      <c r="K17" s="11"/>
      <c r="L17" s="11"/>
      <c r="M17" s="11"/>
    </row>
    <row r="18" spans="1:11" ht="18.75" thickBot="1">
      <c r="A18" s="20" t="s">
        <v>19</v>
      </c>
      <c r="B18" s="39">
        <f>211802.5+185.6</f>
        <v>211988.1</v>
      </c>
      <c r="C18" s="40">
        <f>424151.5+750.3</f>
        <v>424901.8</v>
      </c>
      <c r="D18" s="41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+49.5-442+111.7+213.2+173.4+378.8+383.4+338</f>
        <v>184944.79999999996</v>
      </c>
      <c r="E18" s="3">
        <f>D18/D154*100</f>
        <v>20.4133783959788</v>
      </c>
      <c r="F18" s="3">
        <f>D18/B18*100</f>
        <v>87.24301033878787</v>
      </c>
      <c r="G18" s="3">
        <f t="shared" si="0"/>
        <v>43.52648070683625</v>
      </c>
      <c r="H18" s="41">
        <f>B18-D18</f>
        <v>27043.300000000047</v>
      </c>
      <c r="I18" s="41">
        <f t="shared" si="1"/>
        <v>239957.00000000003</v>
      </c>
      <c r="J18" s="168"/>
      <c r="K18" s="154"/>
    </row>
    <row r="19" spans="1:13" s="95" customFormat="1" ht="18.75">
      <c r="A19" s="141" t="s">
        <v>82</v>
      </c>
      <c r="B19" s="142">
        <f>132767.8+185.6</f>
        <v>132953.4</v>
      </c>
      <c r="C19" s="143">
        <f>226186+750.3</f>
        <v>226936.3</v>
      </c>
      <c r="D19" s="144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+49.5-442.2+213.2+378.8+338</f>
        <v>123140.9</v>
      </c>
      <c r="E19" s="145">
        <f>D19/D18*100</f>
        <v>66.5825154316315</v>
      </c>
      <c r="F19" s="145">
        <f t="shared" si="3"/>
        <v>92.61959453462642</v>
      </c>
      <c r="G19" s="145">
        <f t="shared" si="0"/>
        <v>54.262319426200214</v>
      </c>
      <c r="H19" s="144">
        <f t="shared" si="2"/>
        <v>9812.5</v>
      </c>
      <c r="I19" s="144">
        <f t="shared" si="1"/>
        <v>103795.4</v>
      </c>
      <c r="K19" s="154"/>
      <c r="L19" s="94"/>
      <c r="M19" s="94"/>
    </row>
    <row r="20" spans="1:11" s="94" customFormat="1" ht="18" hidden="1">
      <c r="A20" s="103" t="s">
        <v>5</v>
      </c>
      <c r="B20" s="127"/>
      <c r="C20" s="128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K20" s="154">
        <f>C20-B20</f>
        <v>0</v>
      </c>
    </row>
    <row r="21" spans="1:11" s="94" customFormat="1" ht="18" hidden="1">
      <c r="A21" s="103" t="s">
        <v>2</v>
      </c>
      <c r="B21" s="127"/>
      <c r="C21" s="128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K21" s="154">
        <f>C21-B21</f>
        <v>0</v>
      </c>
    </row>
    <row r="22" spans="1:11" s="94" customFormat="1" ht="18" hidden="1">
      <c r="A22" s="103" t="s">
        <v>1</v>
      </c>
      <c r="B22" s="127"/>
      <c r="C22" s="128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K22" s="154">
        <f>C22-B22</f>
        <v>0</v>
      </c>
    </row>
    <row r="23" spans="1:11" s="94" customFormat="1" ht="18" hidden="1">
      <c r="A23" s="103" t="s">
        <v>0</v>
      </c>
      <c r="B23" s="127"/>
      <c r="C23" s="128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K23" s="154">
        <f>C23-B23</f>
        <v>0</v>
      </c>
    </row>
    <row r="24" spans="1:11" s="94" customFormat="1" ht="18" hidden="1">
      <c r="A24" s="103" t="s">
        <v>14</v>
      </c>
      <c r="B24" s="127"/>
      <c r="C24" s="128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K24" s="154">
        <f>C24-B24</f>
        <v>0</v>
      </c>
    </row>
    <row r="25" spans="1:11" s="94" customFormat="1" ht="18.75" thickBot="1">
      <c r="A25" s="103" t="s">
        <v>27</v>
      </c>
      <c r="B25" s="128">
        <f>B18</f>
        <v>211988.1</v>
      </c>
      <c r="C25" s="128">
        <f>C18</f>
        <v>424901.8</v>
      </c>
      <c r="D25" s="128">
        <f>D18</f>
        <v>184944.79999999996</v>
      </c>
      <c r="E25" s="107">
        <f>D25/D18*100</f>
        <v>100</v>
      </c>
      <c r="F25" s="107">
        <f t="shared" si="3"/>
        <v>87.24301033878787</v>
      </c>
      <c r="G25" s="107">
        <f t="shared" si="0"/>
        <v>43.52648070683625</v>
      </c>
      <c r="H25" s="105">
        <f t="shared" si="2"/>
        <v>27043.300000000047</v>
      </c>
      <c r="I25" s="105">
        <f t="shared" si="1"/>
        <v>239957.00000000003</v>
      </c>
      <c r="K25" s="154"/>
    </row>
    <row r="26" spans="1:11" ht="57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94"/>
      <c r="K26" s="154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94"/>
      <c r="K27" s="154">
        <f t="shared" si="4"/>
        <v>0</v>
      </c>
    </row>
    <row r="28" spans="1:11" ht="19.5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94"/>
      <c r="K28" s="154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94"/>
      <c r="K29" s="154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94"/>
      <c r="K30" s="154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94"/>
      <c r="K31" s="154">
        <f t="shared" si="4"/>
        <v>0</v>
      </c>
    </row>
    <row r="32" spans="1:11" ht="19.5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94"/>
      <c r="K32" s="154">
        <f t="shared" si="4"/>
        <v>0</v>
      </c>
    </row>
    <row r="33" spans="1:11" ht="18.75" thickBot="1">
      <c r="A33" s="20" t="s">
        <v>17</v>
      </c>
      <c r="B33" s="39">
        <f>12240.8-17.2</f>
        <v>12223.599999999999</v>
      </c>
      <c r="C33" s="40">
        <f>24805.1-17.2</f>
        <v>24787.899999999998</v>
      </c>
      <c r="D33" s="43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</f>
        <v>10134.1</v>
      </c>
      <c r="E33" s="3">
        <f>D33/D154*100</f>
        <v>1.1185565531049741</v>
      </c>
      <c r="F33" s="3">
        <f>D33/B33*100</f>
        <v>82.90601786707683</v>
      </c>
      <c r="G33" s="3">
        <f t="shared" si="0"/>
        <v>40.88325352288819</v>
      </c>
      <c r="H33" s="41">
        <f t="shared" si="2"/>
        <v>2089.499999999998</v>
      </c>
      <c r="I33" s="41">
        <f t="shared" si="1"/>
        <v>14653.799999999997</v>
      </c>
      <c r="J33" s="167"/>
      <c r="K33" s="154"/>
    </row>
    <row r="34" spans="1:11" s="94" customFormat="1" ht="18">
      <c r="A34" s="103" t="s">
        <v>3</v>
      </c>
      <c r="B34" s="127">
        <v>6385.5</v>
      </c>
      <c r="C34" s="128">
        <v>12906.6</v>
      </c>
      <c r="D34" s="105">
        <f>364.6+548.1+389.3+522.2+63+395+556.7+63+391.3+512.8+63+394.6+664.3+89.8+0.3+456.7</f>
        <v>5474.700000000001</v>
      </c>
      <c r="E34" s="107">
        <f>D34/D33*100</f>
        <v>54.02255750387307</v>
      </c>
      <c r="F34" s="107">
        <f t="shared" si="3"/>
        <v>85.73643410852715</v>
      </c>
      <c r="G34" s="107">
        <f t="shared" si="0"/>
        <v>42.41783273673935</v>
      </c>
      <c r="H34" s="105">
        <f t="shared" si="2"/>
        <v>910.7999999999993</v>
      </c>
      <c r="I34" s="105">
        <f t="shared" si="1"/>
        <v>7431.9</v>
      </c>
      <c r="K34" s="154"/>
    </row>
    <row r="35" spans="1:11" s="94" customFormat="1" ht="18">
      <c r="A35" s="103" t="s">
        <v>1</v>
      </c>
      <c r="B35" s="127">
        <v>59.6</v>
      </c>
      <c r="C35" s="128">
        <v>81.1</v>
      </c>
      <c r="D35" s="105">
        <f>6.8+8.7+11.6+32.5</f>
        <v>59.6</v>
      </c>
      <c r="E35" s="107">
        <f>D35/D33*100</f>
        <v>0.5881133993151834</v>
      </c>
      <c r="F35" s="107">
        <f t="shared" si="3"/>
        <v>100</v>
      </c>
      <c r="G35" s="107">
        <f t="shared" si="0"/>
        <v>73.48951911220716</v>
      </c>
      <c r="H35" s="105">
        <f t="shared" si="2"/>
        <v>0</v>
      </c>
      <c r="I35" s="105">
        <f t="shared" si="1"/>
        <v>21.499999999999993</v>
      </c>
      <c r="K35" s="154"/>
    </row>
    <row r="36" spans="1:11" s="94" customFormat="1" ht="18">
      <c r="A36" s="103" t="s">
        <v>0</v>
      </c>
      <c r="B36" s="127">
        <v>1014.6</v>
      </c>
      <c r="C36" s="128">
        <v>1783</v>
      </c>
      <c r="D36" s="105">
        <f>0.3+11.3+141.7+12.6+0.9+12.9+1.3+0.5+169.4+1.1+0.1+0.4+11.3+166.1+3.8+5.1+2.9+0.2+0.5+11.9+319.9+44.3+12.2+0.9-0.2+8.4+29.5+8.6+0.2</f>
        <v>978.0999999999999</v>
      </c>
      <c r="E36" s="107">
        <f>D36/D33*100</f>
        <v>9.651572413929207</v>
      </c>
      <c r="F36" s="107">
        <f t="shared" si="3"/>
        <v>96.40252316183717</v>
      </c>
      <c r="G36" s="107">
        <f t="shared" si="0"/>
        <v>54.856982613572626</v>
      </c>
      <c r="H36" s="105">
        <f t="shared" si="2"/>
        <v>36.500000000000114</v>
      </c>
      <c r="I36" s="105">
        <f t="shared" si="1"/>
        <v>804.9000000000001</v>
      </c>
      <c r="K36" s="154"/>
    </row>
    <row r="37" spans="1:12" s="95" customFormat="1" ht="18.75">
      <c r="A37" s="118" t="s">
        <v>7</v>
      </c>
      <c r="B37" s="138">
        <v>330.7</v>
      </c>
      <c r="C37" s="139">
        <v>1008</v>
      </c>
      <c r="D37" s="109">
        <f>44.8+25.1+1.6+0.5+2.7+1+6.3+8.5+2.5+36.6+1.5+4.5+23.6+4.1+106.1+32.6+9.7+2.5+4.3</f>
        <v>318.5</v>
      </c>
      <c r="E37" s="113">
        <f>D37/D33*100</f>
        <v>3.142854323521575</v>
      </c>
      <c r="F37" s="113">
        <f t="shared" si="3"/>
        <v>96.31085576050802</v>
      </c>
      <c r="G37" s="113">
        <f t="shared" si="0"/>
        <v>31.59722222222222</v>
      </c>
      <c r="H37" s="109">
        <f t="shared" si="2"/>
        <v>12.199999999999989</v>
      </c>
      <c r="I37" s="109">
        <f t="shared" si="1"/>
        <v>689.5</v>
      </c>
      <c r="K37" s="154"/>
      <c r="L37" s="140"/>
    </row>
    <row r="38" spans="1:11" s="94" customFormat="1" ht="18">
      <c r="A38" s="103" t="s">
        <v>14</v>
      </c>
      <c r="B38" s="127">
        <v>34.2</v>
      </c>
      <c r="C38" s="128">
        <f>80.8+8.7</f>
        <v>89.5</v>
      </c>
      <c r="D38" s="128">
        <f>5.1+5.1+5.1+5.1+5.1+8.7</f>
        <v>34.2</v>
      </c>
      <c r="E38" s="107">
        <f>D38/D33*100</f>
        <v>0.3374744673922697</v>
      </c>
      <c r="F38" s="107">
        <f t="shared" si="3"/>
        <v>100</v>
      </c>
      <c r="G38" s="107">
        <f t="shared" si="0"/>
        <v>38.2122905027933</v>
      </c>
      <c r="H38" s="105">
        <f t="shared" si="2"/>
        <v>0</v>
      </c>
      <c r="I38" s="105">
        <f t="shared" si="1"/>
        <v>55.3</v>
      </c>
      <c r="K38" s="154"/>
    </row>
    <row r="39" spans="1:11" s="94" customFormat="1" ht="18.75" thickBot="1">
      <c r="A39" s="103" t="s">
        <v>27</v>
      </c>
      <c r="B39" s="127">
        <f>B33-B34-B36-B37-B35-B38</f>
        <v>4398.999999999998</v>
      </c>
      <c r="C39" s="127">
        <f>C33-C34-C36-C37-C35-C38</f>
        <v>8919.699999999997</v>
      </c>
      <c r="D39" s="127">
        <f>D33-D34-D36-D37-D35-D38</f>
        <v>3269</v>
      </c>
      <c r="E39" s="107">
        <f>D39/D33*100</f>
        <v>32.257427891968696</v>
      </c>
      <c r="F39" s="107">
        <f t="shared" si="3"/>
        <v>74.3123437144806</v>
      </c>
      <c r="G39" s="107">
        <f t="shared" si="0"/>
        <v>36.649214659685875</v>
      </c>
      <c r="H39" s="105">
        <f>B39-D39</f>
        <v>1129.9999999999982</v>
      </c>
      <c r="I39" s="105">
        <f t="shared" si="1"/>
        <v>5650.699999999997</v>
      </c>
      <c r="K39" s="154"/>
    </row>
    <row r="40" spans="1:11" ht="19.5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94"/>
      <c r="K40" s="154">
        <f>C40-B40</f>
        <v>0</v>
      </c>
    </row>
    <row r="41" spans="1:11" ht="19.5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94"/>
      <c r="K41" s="154">
        <f>C41-B41</f>
        <v>0</v>
      </c>
    </row>
    <row r="42" spans="1:11" ht="19.5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94"/>
      <c r="K42" s="154">
        <f>C42-B42</f>
        <v>0</v>
      </c>
    </row>
    <row r="43" spans="1:11" ht="19.5" thickBot="1">
      <c r="A43" s="12" t="s">
        <v>16</v>
      </c>
      <c r="B43" s="77">
        <f>1153.7-36</f>
        <v>1117.7</v>
      </c>
      <c r="C43" s="40">
        <f>1126.9+467</f>
        <v>1593.9</v>
      </c>
      <c r="D43" s="41">
        <f>63.9+1.1+0.6+70.8+0.5+48+6.7+2+13.7+10.4+20.2+0.7+37.4+27+181.7+0.2</f>
        <v>484.8999999999999</v>
      </c>
      <c r="E43" s="3">
        <f>D43/D154*100</f>
        <v>0.053521089450528594</v>
      </c>
      <c r="F43" s="3">
        <f>D43/B43*100</f>
        <v>43.38373445468371</v>
      </c>
      <c r="G43" s="3">
        <f t="shared" si="0"/>
        <v>30.422234770060854</v>
      </c>
      <c r="H43" s="41">
        <f t="shared" si="2"/>
        <v>632.8000000000002</v>
      </c>
      <c r="I43" s="41">
        <f t="shared" si="1"/>
        <v>1109.0000000000002</v>
      </c>
      <c r="J43" s="94"/>
      <c r="K43" s="154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94"/>
      <c r="K44" s="154"/>
    </row>
    <row r="45" spans="1:11" ht="18.75" thickBot="1">
      <c r="A45" s="20" t="s">
        <v>44</v>
      </c>
      <c r="B45" s="39">
        <v>6805.3</v>
      </c>
      <c r="C45" s="40">
        <v>13576.3</v>
      </c>
      <c r="D45" s="41">
        <f>237.1+562.8+52.3+349.2+679.9+375.9+891+78.3+327.4+13.5+670.2+386.5+179.9+781.7-0.1+25.5+366.5</f>
        <v>5977.599999999999</v>
      </c>
      <c r="E45" s="3">
        <f>D45/D154*100</f>
        <v>0.6597807059176732</v>
      </c>
      <c r="F45" s="3">
        <f>D45/B45*100</f>
        <v>87.83742083376191</v>
      </c>
      <c r="G45" s="3">
        <f aca="true" t="shared" si="5" ref="G45:G76">D45/C45*100</f>
        <v>44.0296693502648</v>
      </c>
      <c r="H45" s="41">
        <f>B45-D45</f>
        <v>827.7000000000007</v>
      </c>
      <c r="I45" s="41">
        <f aca="true" t="shared" si="6" ref="I45:I77">C45-D45</f>
        <v>7598.7</v>
      </c>
      <c r="J45" s="94"/>
      <c r="K45" s="154"/>
    </row>
    <row r="46" spans="1:11" s="94" customFormat="1" ht="18">
      <c r="A46" s="103" t="s">
        <v>3</v>
      </c>
      <c r="B46" s="127">
        <v>6036.4</v>
      </c>
      <c r="C46" s="128">
        <v>12256.4</v>
      </c>
      <c r="D46" s="105">
        <f>237.1+551.8+334.1+652.5+314.7+746.1+319.2+661.7+342.8+781.7+0.2-0.1+366.5</f>
        <v>5308.299999999999</v>
      </c>
      <c r="E46" s="107">
        <f>D46/D45*100</f>
        <v>88.80319860813705</v>
      </c>
      <c r="F46" s="107">
        <f aca="true" t="shared" si="7" ref="F46:F74">D46/B46*100</f>
        <v>87.9381750712345</v>
      </c>
      <c r="G46" s="107">
        <f t="shared" si="5"/>
        <v>43.31043373258052</v>
      </c>
      <c r="H46" s="105">
        <f aca="true" t="shared" si="8" ref="H46:H74">B46-D46</f>
        <v>728.1000000000004</v>
      </c>
      <c r="I46" s="105">
        <f t="shared" si="6"/>
        <v>6948.1</v>
      </c>
      <c r="K46" s="154"/>
    </row>
    <row r="47" spans="1:11" s="94" customFormat="1" ht="18">
      <c r="A47" s="103" t="s">
        <v>2</v>
      </c>
      <c r="B47" s="127">
        <v>0.8</v>
      </c>
      <c r="C47" s="128">
        <v>1.5</v>
      </c>
      <c r="D47" s="105"/>
      <c r="E47" s="107">
        <f>D47/D45*100</f>
        <v>0</v>
      </c>
      <c r="F47" s="107">
        <f t="shared" si="7"/>
        <v>0</v>
      </c>
      <c r="G47" s="107">
        <f t="shared" si="5"/>
        <v>0</v>
      </c>
      <c r="H47" s="105">
        <f t="shared" si="8"/>
        <v>0.8</v>
      </c>
      <c r="I47" s="105">
        <f t="shared" si="6"/>
        <v>1.5</v>
      </c>
      <c r="K47" s="154"/>
    </row>
    <row r="48" spans="1:11" s="94" customFormat="1" ht="18">
      <c r="A48" s="103" t="s">
        <v>1</v>
      </c>
      <c r="B48" s="127">
        <v>49</v>
      </c>
      <c r="C48" s="128">
        <v>98.9</v>
      </c>
      <c r="D48" s="105">
        <f>5.7+6.1+6.5+7.7</f>
        <v>26</v>
      </c>
      <c r="E48" s="107">
        <f>D48/D45*100</f>
        <v>0.43495717344753754</v>
      </c>
      <c r="F48" s="107">
        <f t="shared" si="7"/>
        <v>53.06122448979592</v>
      </c>
      <c r="G48" s="107">
        <f t="shared" si="5"/>
        <v>26.289180990899897</v>
      </c>
      <c r="H48" s="105">
        <f t="shared" si="8"/>
        <v>23</v>
      </c>
      <c r="I48" s="105">
        <f t="shared" si="6"/>
        <v>72.9</v>
      </c>
      <c r="K48" s="154"/>
    </row>
    <row r="49" spans="1:11" s="94" customFormat="1" ht="18">
      <c r="A49" s="103" t="s">
        <v>0</v>
      </c>
      <c r="B49" s="127">
        <v>562.4</v>
      </c>
      <c r="C49" s="128">
        <v>879.8</v>
      </c>
      <c r="D49" s="105">
        <f>7.3+51.9+12.7-0.1+54.5+131.2+49.5+2.4+7.9+11.2+178.3+0.4</f>
        <v>507.19999999999993</v>
      </c>
      <c r="E49" s="107">
        <f>D49/D45*100</f>
        <v>8.485010706638116</v>
      </c>
      <c r="F49" s="107">
        <f t="shared" si="7"/>
        <v>90.18492176386911</v>
      </c>
      <c r="G49" s="107">
        <f t="shared" si="5"/>
        <v>57.64946578767901</v>
      </c>
      <c r="H49" s="105">
        <f t="shared" si="8"/>
        <v>55.200000000000045</v>
      </c>
      <c r="I49" s="105">
        <f t="shared" si="6"/>
        <v>372.6</v>
      </c>
      <c r="K49" s="154"/>
    </row>
    <row r="50" spans="1:11" s="94" customFormat="1" ht="18.75" thickBot="1">
      <c r="A50" s="103" t="s">
        <v>27</v>
      </c>
      <c r="B50" s="128">
        <f>B45-B46-B49-B48-B47</f>
        <v>156.70000000000056</v>
      </c>
      <c r="C50" s="128">
        <f>C45-C46-C49-C48-C47</f>
        <v>339.6999999999997</v>
      </c>
      <c r="D50" s="128">
        <f>D45-D46-D49-D48-D47</f>
        <v>136.10000000000025</v>
      </c>
      <c r="E50" s="107">
        <f>D50/D45*100</f>
        <v>2.276833511777306</v>
      </c>
      <c r="F50" s="107">
        <f t="shared" si="7"/>
        <v>86.85386088066353</v>
      </c>
      <c r="G50" s="107">
        <f t="shared" si="5"/>
        <v>40.06476302619969</v>
      </c>
      <c r="H50" s="105">
        <f t="shared" si="8"/>
        <v>20.600000000000307</v>
      </c>
      <c r="I50" s="105">
        <f t="shared" si="6"/>
        <v>203.59999999999945</v>
      </c>
      <c r="K50" s="154"/>
    </row>
    <row r="51" spans="1:11" ht="18.75" thickBot="1">
      <c r="A51" s="20" t="s">
        <v>4</v>
      </c>
      <c r="B51" s="39">
        <v>17581.2</v>
      </c>
      <c r="C51" s="40">
        <f>37135.4+450-426</f>
        <v>37159.4</v>
      </c>
      <c r="D51" s="41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</f>
        <v>14247.699999999995</v>
      </c>
      <c r="E51" s="3">
        <f>D51/D154*100</f>
        <v>1.5725972905017451</v>
      </c>
      <c r="F51" s="3">
        <f>D51/B51*100</f>
        <v>81.03940572884669</v>
      </c>
      <c r="G51" s="3">
        <f t="shared" si="5"/>
        <v>38.342115319407725</v>
      </c>
      <c r="H51" s="41">
        <f>B51-D51</f>
        <v>3333.5000000000055</v>
      </c>
      <c r="I51" s="41">
        <f t="shared" si="6"/>
        <v>22911.700000000004</v>
      </c>
      <c r="J51" s="94"/>
      <c r="K51" s="154"/>
    </row>
    <row r="52" spans="1:11" s="94" customFormat="1" ht="18">
      <c r="A52" s="103" t="s">
        <v>3</v>
      </c>
      <c r="B52" s="127">
        <v>10635</v>
      </c>
      <c r="C52" s="128">
        <v>20097.4</v>
      </c>
      <c r="D52" s="105">
        <f>632.9+34.3+767.3+737.6+710.6+649.6+792.4+1.6+643.1+825.6+650.1+947+1196.1</f>
        <v>8588.2</v>
      </c>
      <c r="E52" s="107">
        <f>D52/D51*100</f>
        <v>60.277799223734384</v>
      </c>
      <c r="F52" s="107">
        <f t="shared" si="7"/>
        <v>80.75411377527034</v>
      </c>
      <c r="G52" s="107">
        <f t="shared" si="5"/>
        <v>42.73289082169833</v>
      </c>
      <c r="H52" s="105">
        <f t="shared" si="8"/>
        <v>2046.7999999999993</v>
      </c>
      <c r="I52" s="105">
        <f t="shared" si="6"/>
        <v>11509.2</v>
      </c>
      <c r="K52" s="154"/>
    </row>
    <row r="53" spans="1:11" s="94" customFormat="1" ht="18">
      <c r="A53" s="103" t="s">
        <v>2</v>
      </c>
      <c r="B53" s="127">
        <v>0</v>
      </c>
      <c r="C53" s="128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K53" s="154"/>
    </row>
    <row r="54" spans="1:11" s="94" customFormat="1" ht="18">
      <c r="A54" s="103" t="s">
        <v>1</v>
      </c>
      <c r="B54" s="127">
        <v>501</v>
      </c>
      <c r="C54" s="128">
        <v>993.6</v>
      </c>
      <c r="D54" s="105">
        <f>0.2+4.2+9+4.7+9.6+6.3+43.2+2.7+18.4+3.8+23.8+5.3+12.2+43.2+26.7+3.8+22.4+0.4+59.7+30.3+3.3+19.2+7+2.9+21+4.4-0.4+4.8+2.2+3.6+32.5</f>
        <v>430.40000000000003</v>
      </c>
      <c r="E54" s="107">
        <f>D54/D51*100</f>
        <v>3.0208384511184274</v>
      </c>
      <c r="F54" s="107">
        <f t="shared" si="7"/>
        <v>85.90818363273453</v>
      </c>
      <c r="G54" s="107">
        <f t="shared" si="5"/>
        <v>43.31723027375202</v>
      </c>
      <c r="H54" s="105">
        <f t="shared" si="8"/>
        <v>70.59999999999997</v>
      </c>
      <c r="I54" s="105">
        <f t="shared" si="6"/>
        <v>563.2</v>
      </c>
      <c r="K54" s="154"/>
    </row>
    <row r="55" spans="1:11" s="94" customFormat="1" ht="18">
      <c r="A55" s="103" t="s">
        <v>0</v>
      </c>
      <c r="B55" s="127">
        <v>605.6</v>
      </c>
      <c r="C55" s="128">
        <v>1219.9</v>
      </c>
      <c r="D55" s="105">
        <f>0.5+1+2.8+12.3+8.3+0.5+0.4+8.7+15+0.3+1.3+64.9+33.6+8.1+0.1+94.7+0.3+9.8+7.8+0.9+1.8+16.2+18.3+3.3+0.1+11.4+0.1+11.4+1.3+76.9+6.2+11.6+2.1+2.4+24+0.1+0.5+16.3+2.5+1.1+3.8+2.1</f>
        <v>484.8000000000001</v>
      </c>
      <c r="E55" s="107">
        <f>D55/D51*100</f>
        <v>3.4026544635274485</v>
      </c>
      <c r="F55" s="107">
        <f t="shared" si="7"/>
        <v>80.05284015852048</v>
      </c>
      <c r="G55" s="107">
        <f t="shared" si="5"/>
        <v>39.74096237396509</v>
      </c>
      <c r="H55" s="105">
        <f t="shared" si="8"/>
        <v>120.7999999999999</v>
      </c>
      <c r="I55" s="105">
        <f t="shared" si="6"/>
        <v>735.0999999999999</v>
      </c>
      <c r="K55" s="154"/>
    </row>
    <row r="56" spans="1:11" s="94" customFormat="1" ht="18">
      <c r="A56" s="103" t="s">
        <v>14</v>
      </c>
      <c r="B56" s="127">
        <v>660</v>
      </c>
      <c r="C56" s="128">
        <v>1320</v>
      </c>
      <c r="D56" s="128">
        <f>110+110+110+110+110+110</f>
        <v>660</v>
      </c>
      <c r="E56" s="107">
        <f>D56/D51*100</f>
        <v>4.632326621138852</v>
      </c>
      <c r="F56" s="107">
        <f>D56/B56*100</f>
        <v>100</v>
      </c>
      <c r="G56" s="107">
        <f>D56/C56*100</f>
        <v>50</v>
      </c>
      <c r="H56" s="105">
        <f t="shared" si="8"/>
        <v>0</v>
      </c>
      <c r="I56" s="105">
        <f t="shared" si="6"/>
        <v>660</v>
      </c>
      <c r="K56" s="154"/>
    </row>
    <row r="57" spans="1:11" s="94" customFormat="1" ht="18.75" thickBot="1">
      <c r="A57" s="103" t="s">
        <v>27</v>
      </c>
      <c r="B57" s="128">
        <f>B51-B52-B55-B54-B53-B56</f>
        <v>5179.6</v>
      </c>
      <c r="C57" s="128">
        <f>C51-C52-C55-C54-C53-C56</f>
        <v>13514.6</v>
      </c>
      <c r="D57" s="128">
        <f>D51-D52-D55-D54-D53-D56</f>
        <v>4084.2999999999947</v>
      </c>
      <c r="E57" s="107">
        <f>D57/D51*100</f>
        <v>28.66638124048089</v>
      </c>
      <c r="F57" s="107">
        <f t="shared" si="7"/>
        <v>78.85357942698266</v>
      </c>
      <c r="G57" s="107">
        <f t="shared" si="5"/>
        <v>30.22139020022786</v>
      </c>
      <c r="H57" s="105">
        <f>B57-D57</f>
        <v>1095.3000000000056</v>
      </c>
      <c r="I57" s="105">
        <f>C57-D57</f>
        <v>9430.300000000007</v>
      </c>
      <c r="K57" s="154"/>
    </row>
    <row r="58" spans="1:11" s="32" customFormat="1" ht="19.5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95"/>
      <c r="K58" s="154">
        <f>C58-B58</f>
        <v>0</v>
      </c>
    </row>
    <row r="59" spans="1:11" ht="18.75" thickBot="1">
      <c r="A59" s="20" t="s">
        <v>6</v>
      </c>
      <c r="B59" s="39">
        <f>3979.5+32.4</f>
        <v>4011.9</v>
      </c>
      <c r="C59" s="40">
        <f>9264.2+300</f>
        <v>9564.2</v>
      </c>
      <c r="D59" s="41">
        <f>87.7+79.1+87.8+43.2+40.5+47.6+13+155.9+18+2.1+84.2+29.6+0.7+0.5+5.7+85.8+109.2+19+38.3+85.7+1.2+4.7+89.8+79.1+0.4+114.1+2.5+187.7+22+17.7+67.3-3+41+50.9+0.1+2.6+120</f>
        <v>1831.7</v>
      </c>
      <c r="E59" s="3">
        <f>D59/D154*100</f>
        <v>0.2021748392380558</v>
      </c>
      <c r="F59" s="3">
        <f>D59/B59*100</f>
        <v>45.65667140257733</v>
      </c>
      <c r="G59" s="3">
        <f t="shared" si="5"/>
        <v>19.151627945881515</v>
      </c>
      <c r="H59" s="41">
        <f>B59-D59</f>
        <v>2180.2</v>
      </c>
      <c r="I59" s="41">
        <f t="shared" si="6"/>
        <v>7732.500000000001</v>
      </c>
      <c r="J59" s="94"/>
      <c r="K59" s="154"/>
    </row>
    <row r="60" spans="1:11" s="94" customFormat="1" ht="18">
      <c r="A60" s="103" t="s">
        <v>3</v>
      </c>
      <c r="B60" s="127">
        <v>1564.4</v>
      </c>
      <c r="C60" s="128">
        <v>3119.7</v>
      </c>
      <c r="D60" s="105">
        <f>77.7+79.1+76.9+40.5+47.3+155.9+45+29.2+85.8+95.3+38.3+30.7+89.8+79.1+80.7+178.9+50.9+35.4+119.2</f>
        <v>1435.7000000000003</v>
      </c>
      <c r="E60" s="107">
        <f>D60/D59*100</f>
        <v>78.38073920401814</v>
      </c>
      <c r="F60" s="107">
        <f t="shared" si="7"/>
        <v>91.77320378419843</v>
      </c>
      <c r="G60" s="107">
        <f t="shared" si="5"/>
        <v>46.02045068436069</v>
      </c>
      <c r="H60" s="105">
        <f t="shared" si="8"/>
        <v>128.69999999999982</v>
      </c>
      <c r="I60" s="105">
        <f t="shared" si="6"/>
        <v>1683.9999999999995</v>
      </c>
      <c r="K60" s="154"/>
    </row>
    <row r="61" spans="1:11" s="94" customFormat="1" ht="18">
      <c r="A61" s="103" t="s">
        <v>1</v>
      </c>
      <c r="B61" s="127">
        <f>263.2+32.4</f>
        <v>295.59999999999997</v>
      </c>
      <c r="C61" s="128">
        <v>360.7</v>
      </c>
      <c r="D61" s="105"/>
      <c r="E61" s="107">
        <f>D61/D59*100</f>
        <v>0</v>
      </c>
      <c r="F61" s="107">
        <f>D61/B61*100</f>
        <v>0</v>
      </c>
      <c r="G61" s="107">
        <f t="shared" si="5"/>
        <v>0</v>
      </c>
      <c r="H61" s="105">
        <f t="shared" si="8"/>
        <v>295.59999999999997</v>
      </c>
      <c r="I61" s="105">
        <f t="shared" si="6"/>
        <v>360.7</v>
      </c>
      <c r="K61" s="154"/>
    </row>
    <row r="62" spans="1:11" s="94" customFormat="1" ht="18">
      <c r="A62" s="103" t="s">
        <v>0</v>
      </c>
      <c r="B62" s="127">
        <v>239.7</v>
      </c>
      <c r="C62" s="128">
        <v>393.7</v>
      </c>
      <c r="D62" s="105">
        <f>10.9+43.2+13-3+39.2+5.7+50.2+3.5+0.2+29.7+2.5+1.8+22+0.1+0.7+2.1+0.1</f>
        <v>221.89999999999995</v>
      </c>
      <c r="E62" s="107">
        <f>D62/D59*100</f>
        <v>12.114429218758527</v>
      </c>
      <c r="F62" s="107">
        <f t="shared" si="7"/>
        <v>92.5740508969545</v>
      </c>
      <c r="G62" s="107">
        <f t="shared" si="5"/>
        <v>56.36271272542543</v>
      </c>
      <c r="H62" s="105">
        <f t="shared" si="8"/>
        <v>17.80000000000004</v>
      </c>
      <c r="I62" s="105">
        <f t="shared" si="6"/>
        <v>171.80000000000004</v>
      </c>
      <c r="K62" s="154"/>
    </row>
    <row r="63" spans="1:11" s="94" customFormat="1" ht="18">
      <c r="A63" s="103" t="s">
        <v>14</v>
      </c>
      <c r="B63" s="127">
        <v>1633.1</v>
      </c>
      <c r="C63" s="128">
        <v>4866.6</v>
      </c>
      <c r="D63" s="105">
        <v>0</v>
      </c>
      <c r="E63" s="107">
        <f>D63/D59*100</f>
        <v>0</v>
      </c>
      <c r="F63" s="107">
        <f t="shared" si="7"/>
        <v>0</v>
      </c>
      <c r="G63" s="107">
        <f t="shared" si="5"/>
        <v>0</v>
      </c>
      <c r="H63" s="105">
        <f t="shared" si="8"/>
        <v>1633.1</v>
      </c>
      <c r="I63" s="105">
        <f t="shared" si="6"/>
        <v>4866.6</v>
      </c>
      <c r="K63" s="154"/>
    </row>
    <row r="64" spans="1:11" s="94" customFormat="1" ht="18.75" thickBot="1">
      <c r="A64" s="103" t="s">
        <v>27</v>
      </c>
      <c r="B64" s="128">
        <f>B59-B60-B62-B63-B61</f>
        <v>279.1000000000003</v>
      </c>
      <c r="C64" s="128">
        <f>C59-C60-C62-C63-C61</f>
        <v>823.5000000000007</v>
      </c>
      <c r="D64" s="128">
        <f>D59-D60-D62-D63-D61</f>
        <v>174.09999999999982</v>
      </c>
      <c r="E64" s="107">
        <f>D64/D59*100</f>
        <v>9.504831577223333</v>
      </c>
      <c r="F64" s="107">
        <f t="shared" si="7"/>
        <v>62.37907560014319</v>
      </c>
      <c r="G64" s="107">
        <f t="shared" si="5"/>
        <v>21.14146933819061</v>
      </c>
      <c r="H64" s="105">
        <f t="shared" si="8"/>
        <v>105.00000000000048</v>
      </c>
      <c r="I64" s="105">
        <f t="shared" si="6"/>
        <v>649.4000000000009</v>
      </c>
      <c r="K64" s="154"/>
    </row>
    <row r="65" spans="1:11" s="32" customFormat="1" ht="19.5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95"/>
      <c r="K65" s="154">
        <f>C65-B65</f>
        <v>0</v>
      </c>
    </row>
    <row r="66" spans="1:11" s="32" customFormat="1" ht="19.5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95"/>
      <c r="K66" s="154">
        <f>C66-B66</f>
        <v>0</v>
      </c>
    </row>
    <row r="67" spans="1:11" s="32" customFormat="1" ht="19.5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95"/>
      <c r="K67" s="154">
        <f>C67-B67</f>
        <v>0</v>
      </c>
    </row>
    <row r="68" spans="1:11" s="32" customFormat="1" ht="19.5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95"/>
      <c r="K68" s="154">
        <f>C68-B68</f>
        <v>0</v>
      </c>
    </row>
    <row r="69" spans="1:11" ht="18.75" thickBot="1">
      <c r="A69" s="20" t="s">
        <v>20</v>
      </c>
      <c r="B69" s="40">
        <f>B70+B71</f>
        <v>295.20000000000005</v>
      </c>
      <c r="C69" s="40">
        <f>C70+C71</f>
        <v>450.8</v>
      </c>
      <c r="D69" s="41">
        <f>D70+D71</f>
        <v>227</v>
      </c>
      <c r="E69" s="30">
        <f>D69/D154*100</f>
        <v>0.025055242947556185</v>
      </c>
      <c r="F69" s="3">
        <f>D69/B69*100</f>
        <v>76.89701897018969</v>
      </c>
      <c r="G69" s="3">
        <f t="shared" si="5"/>
        <v>50.35492457852706</v>
      </c>
      <c r="H69" s="41">
        <f>B69-D69</f>
        <v>68.20000000000005</v>
      </c>
      <c r="I69" s="41">
        <f t="shared" si="6"/>
        <v>223.8</v>
      </c>
      <c r="J69" s="94"/>
      <c r="K69" s="154"/>
    </row>
    <row r="70" spans="1:11" s="94" customFormat="1" ht="18">
      <c r="A70" s="103" t="s">
        <v>8</v>
      </c>
      <c r="B70" s="127">
        <f>256.1+36-12-53.1</f>
        <v>227.00000000000003</v>
      </c>
      <c r="C70" s="128">
        <f>292.7-53.1</f>
        <v>239.6</v>
      </c>
      <c r="D70" s="105">
        <f>169.5+50+6+1.5</f>
        <v>227</v>
      </c>
      <c r="E70" s="107">
        <f>D70/D69*100</f>
        <v>100</v>
      </c>
      <c r="F70" s="107">
        <f t="shared" si="7"/>
        <v>99.99999999999999</v>
      </c>
      <c r="G70" s="107">
        <f t="shared" si="5"/>
        <v>94.74123539232053</v>
      </c>
      <c r="H70" s="105">
        <f t="shared" si="8"/>
        <v>0</v>
      </c>
      <c r="I70" s="105">
        <f t="shared" si="6"/>
        <v>12.599999999999994</v>
      </c>
      <c r="K70" s="154"/>
    </row>
    <row r="71" spans="1:11" s="94" customFormat="1" ht="18.75" thickBot="1">
      <c r="A71" s="103" t="s">
        <v>9</v>
      </c>
      <c r="B71" s="127">
        <f>106.1-37.9</f>
        <v>68.19999999999999</v>
      </c>
      <c r="C71" s="128">
        <f>293.1-30-14-37.9</f>
        <v>211.20000000000002</v>
      </c>
      <c r="D71" s="105">
        <v>0</v>
      </c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68.19999999999999</v>
      </c>
      <c r="I71" s="105">
        <f t="shared" si="6"/>
        <v>211.20000000000002</v>
      </c>
      <c r="K71" s="154"/>
    </row>
    <row r="72" spans="1:11" ht="38.2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94"/>
      <c r="K72" s="154"/>
    </row>
    <row r="73" spans="1:11" ht="18.75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94"/>
      <c r="K73" s="154"/>
    </row>
    <row r="74" spans="1:11" ht="18.75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94"/>
      <c r="K74" s="154"/>
    </row>
    <row r="75" spans="1:11" ht="18.75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94"/>
      <c r="K75" s="154"/>
    </row>
    <row r="76" spans="1:11" ht="19.5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94"/>
      <c r="K76" s="154"/>
    </row>
    <row r="77" spans="1:11" s="32" customFormat="1" ht="19.5" thickBot="1">
      <c r="A77" s="23" t="s">
        <v>13</v>
      </c>
      <c r="B77" s="47">
        <v>0</v>
      </c>
      <c r="C77" s="54">
        <f>17000-13500-1000</f>
        <v>2500</v>
      </c>
      <c r="D77" s="55"/>
      <c r="E77" s="35"/>
      <c r="F77" s="35"/>
      <c r="G77" s="35"/>
      <c r="H77" s="55">
        <f>B77-D77</f>
        <v>0</v>
      </c>
      <c r="I77" s="55">
        <f t="shared" si="6"/>
        <v>2500</v>
      </c>
      <c r="J77" s="95"/>
      <c r="K77" s="154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94"/>
      <c r="K78" s="154"/>
    </row>
    <row r="79" spans="1:11" ht="18.75" customHeight="1" hidden="1" thickBot="1">
      <c r="A79" s="12" t="s">
        <v>56</v>
      </c>
      <c r="B79" s="46"/>
      <c r="C79" s="40"/>
      <c r="D79" s="40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94"/>
      <c r="K79" s="154"/>
    </row>
    <row r="80" spans="1:11" s="8" customFormat="1" ht="18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56"/>
      <c r="K80" s="154"/>
    </row>
    <row r="81" spans="1:11" s="8" customFormat="1" ht="30.7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56"/>
      <c r="K81" s="154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56"/>
      <c r="K82" s="154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56"/>
      <c r="K83" s="154"/>
    </row>
    <row r="84" spans="1:11" ht="35.25" customHeight="1" hidden="1" thickBot="1">
      <c r="A84" s="12" t="s">
        <v>35</v>
      </c>
      <c r="B84" s="46"/>
      <c r="C84" s="40"/>
      <c r="D84" s="40"/>
      <c r="E84" s="3">
        <f>D84/D154*100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94"/>
      <c r="K84" s="154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94"/>
      <c r="K85" s="154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94"/>
      <c r="K86" s="154"/>
    </row>
    <row r="87" spans="1:11" ht="34.5" customHeight="1" hidden="1" thickBot="1">
      <c r="A87" s="12" t="s">
        <v>36</v>
      </c>
      <c r="B87" s="46"/>
      <c r="C87" s="40"/>
      <c r="D87" s="40"/>
      <c r="E87" s="3">
        <f>D87/D154*100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94"/>
      <c r="K87" s="154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94"/>
      <c r="K88" s="154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94"/>
      <c r="K89" s="154"/>
    </row>
    <row r="90" spans="1:11" ht="19.5" thickBot="1">
      <c r="A90" s="12" t="s">
        <v>10</v>
      </c>
      <c r="B90" s="46">
        <f>109554.8+50+40</f>
        <v>109644.8</v>
      </c>
      <c r="C90" s="40">
        <f>200580.6+2044.4+100+113.7</f>
        <v>202838.7</v>
      </c>
      <c r="D90" s="41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</f>
        <v>93174.79999999997</v>
      </c>
      <c r="E90" s="3">
        <f>D90/D154*100</f>
        <v>10.284216962951353</v>
      </c>
      <c r="F90" s="3">
        <f aca="true" t="shared" si="11" ref="F90:F96">D90/B90*100</f>
        <v>84.97876780294183</v>
      </c>
      <c r="G90" s="3">
        <f t="shared" si="9"/>
        <v>45.93541567758025</v>
      </c>
      <c r="H90" s="41">
        <f aca="true" t="shared" si="12" ref="H90:H96">B90-D90</f>
        <v>16470.00000000003</v>
      </c>
      <c r="I90" s="41">
        <f t="shared" si="10"/>
        <v>109663.90000000004</v>
      </c>
      <c r="J90" s="94"/>
      <c r="K90" s="154"/>
    </row>
    <row r="91" spans="1:11" s="94" customFormat="1" ht="18">
      <c r="A91" s="103" t="s">
        <v>3</v>
      </c>
      <c r="B91" s="127">
        <f>102192.2+45.2</f>
        <v>102237.4</v>
      </c>
      <c r="C91" s="128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</f>
        <v>88795.00999999998</v>
      </c>
      <c r="E91" s="107">
        <f>D91/D90*100</f>
        <v>95.29938352430057</v>
      </c>
      <c r="F91" s="107">
        <f t="shared" si="11"/>
        <v>86.85178809320266</v>
      </c>
      <c r="G91" s="107">
        <f t="shared" si="9"/>
        <v>46.74570539179893</v>
      </c>
      <c r="H91" s="105">
        <f t="shared" si="12"/>
        <v>13442.390000000014</v>
      </c>
      <c r="I91" s="105">
        <f t="shared" si="10"/>
        <v>101158.29000000001</v>
      </c>
      <c r="K91" s="154"/>
    </row>
    <row r="92" spans="1:11" s="94" customFormat="1" ht="18">
      <c r="A92" s="103" t="s">
        <v>25</v>
      </c>
      <c r="B92" s="127">
        <v>1536.1</v>
      </c>
      <c r="C92" s="128">
        <v>2776.4</v>
      </c>
      <c r="D92" s="105">
        <f>57.2+3.4+167+1.4+0.3+83.4+86.9+53.1+5.3+4.7+17+71.3+284.2+22.2+4.8+1.6+54.8+7+38.2+1.9+190+51.9+21+0.9</f>
        <v>1229.5000000000002</v>
      </c>
      <c r="E92" s="107">
        <f>D92/D90*100</f>
        <v>1.3195628002421262</v>
      </c>
      <c r="F92" s="107">
        <f t="shared" si="11"/>
        <v>80.04036195560187</v>
      </c>
      <c r="G92" s="107">
        <f t="shared" si="9"/>
        <v>44.2839648465639</v>
      </c>
      <c r="H92" s="105">
        <f t="shared" si="12"/>
        <v>306.5999999999997</v>
      </c>
      <c r="I92" s="105">
        <f t="shared" si="10"/>
        <v>1546.8999999999999</v>
      </c>
      <c r="K92" s="154"/>
    </row>
    <row r="93" spans="1:11" s="94" customFormat="1" ht="18" hidden="1">
      <c r="A93" s="103" t="s">
        <v>14</v>
      </c>
      <c r="B93" s="127"/>
      <c r="C93" s="128"/>
      <c r="D93" s="128"/>
      <c r="E93" s="129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4">
        <f aca="true" t="shared" si="13" ref="K93:K101">C93-B93</f>
        <v>0</v>
      </c>
    </row>
    <row r="94" spans="1:11" s="94" customFormat="1" ht="18.75" thickBot="1">
      <c r="A94" s="103" t="s">
        <v>27</v>
      </c>
      <c r="B94" s="128">
        <f>B90-B91-B92-B93</f>
        <v>5871.300000000008</v>
      </c>
      <c r="C94" s="128">
        <f>C90-C91-C92-C93</f>
        <v>10109.000000000024</v>
      </c>
      <c r="D94" s="128">
        <f>D90-D91-D92-D93</f>
        <v>3150.2899999999936</v>
      </c>
      <c r="E94" s="107">
        <f>D94/D90*100</f>
        <v>3.3810536754573066</v>
      </c>
      <c r="F94" s="107">
        <f t="shared" si="11"/>
        <v>53.65574915265766</v>
      </c>
      <c r="G94" s="107">
        <f>D94/C94*100</f>
        <v>31.163220892274072</v>
      </c>
      <c r="H94" s="105">
        <f t="shared" si="12"/>
        <v>2721.0100000000148</v>
      </c>
      <c r="I94" s="105">
        <f>C94-D94</f>
        <v>6958.71000000003</v>
      </c>
      <c r="K94" s="154"/>
    </row>
    <row r="95" spans="1:11" ht="18.75">
      <c r="A95" s="83" t="s">
        <v>12</v>
      </c>
      <c r="B95" s="92">
        <f>23556.9-312.7-1000-40</f>
        <v>22204.2</v>
      </c>
      <c r="C95" s="86">
        <f>46414.5+100+39.4+1153.5-64.6-244.3</f>
        <v>47398.5</v>
      </c>
      <c r="D95" s="85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</f>
        <v>17479.900000000005</v>
      </c>
      <c r="E95" s="82">
        <f>D95/D154*100</f>
        <v>1.9293530449294605</v>
      </c>
      <c r="F95" s="84">
        <f t="shared" si="11"/>
        <v>78.72339467307988</v>
      </c>
      <c r="G95" s="81">
        <f>D95/C95*100</f>
        <v>36.878593204426316</v>
      </c>
      <c r="H95" s="85">
        <f t="shared" si="12"/>
        <v>4724.299999999996</v>
      </c>
      <c r="I95" s="88">
        <f>C95-D95</f>
        <v>29918.599999999995</v>
      </c>
      <c r="J95" s="94"/>
      <c r="K95" s="154"/>
    </row>
    <row r="96" spans="1:11" s="94" customFormat="1" ht="18.75" thickBot="1">
      <c r="A96" s="130" t="s">
        <v>83</v>
      </c>
      <c r="B96" s="131">
        <v>6483.7</v>
      </c>
      <c r="C96" s="132">
        <v>12814.2</v>
      </c>
      <c r="D96" s="133">
        <f>194.6+1234+3.4+0.5+79.6+1026.4+0.7+86.4+939.3+4.2+87.7+624.7+8+489.4+90.3+1.9+597.9+5.5+67.2+2.1+31.9+0.2</f>
        <v>5575.899999999998</v>
      </c>
      <c r="E96" s="134">
        <f>D96/D95*100</f>
        <v>31.898923906887315</v>
      </c>
      <c r="F96" s="135">
        <f t="shared" si="11"/>
        <v>85.99873529003497</v>
      </c>
      <c r="G96" s="136">
        <f>D96/C96*100</f>
        <v>43.51344602082064</v>
      </c>
      <c r="H96" s="137">
        <f t="shared" si="12"/>
        <v>907.800000000002</v>
      </c>
      <c r="I96" s="126">
        <f>C96-D96</f>
        <v>7238.300000000003</v>
      </c>
      <c r="K96" s="154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94"/>
      <c r="K97" s="154"/>
    </row>
    <row r="98" spans="1:11" ht="19.5" hidden="1" thickBot="1">
      <c r="A98" s="25" t="s">
        <v>37</v>
      </c>
      <c r="B98" s="60"/>
      <c r="C98" s="61"/>
      <c r="D98" s="62"/>
      <c r="E98" s="3">
        <f>D98/D154*100</f>
        <v>0</v>
      </c>
      <c r="F98" s="3"/>
      <c r="G98" s="3" t="e">
        <f>D98/C98*100</f>
        <v>#DIV/0!</v>
      </c>
      <c r="H98" s="41"/>
      <c r="I98" s="41">
        <f>C98-D98</f>
        <v>0</v>
      </c>
      <c r="J98" s="94"/>
      <c r="K98" s="154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94"/>
      <c r="K99" s="154">
        <f t="shared" si="13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57"/>
      <c r="K100" s="154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94"/>
      <c r="K101" s="154">
        <f t="shared" si="13"/>
        <v>0</v>
      </c>
    </row>
    <row r="102" spans="1:11" s="32" customFormat="1" ht="19.5" thickBot="1">
      <c r="A102" s="12" t="s">
        <v>11</v>
      </c>
      <c r="B102" s="91">
        <f>8246.9-50+30.9</f>
        <v>8227.8</v>
      </c>
      <c r="C102" s="71">
        <f>11266.5-91.2+1707.2+14.9</f>
        <v>12897.4</v>
      </c>
      <c r="D102" s="66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</f>
        <v>6880.499999999999</v>
      </c>
      <c r="E102" s="17">
        <f>D102/D154*100</f>
        <v>0.7594387625579749</v>
      </c>
      <c r="F102" s="17">
        <f>D102/B102*100</f>
        <v>83.62502734631371</v>
      </c>
      <c r="G102" s="17">
        <f aca="true" t="shared" si="14" ref="G102:G152">D102/C102*100</f>
        <v>53.3479616046645</v>
      </c>
      <c r="H102" s="66">
        <f aca="true" t="shared" si="15" ref="H102:H108">B102-D102</f>
        <v>1347.3000000000002</v>
      </c>
      <c r="I102" s="66">
        <f aca="true" t="shared" si="16" ref="I102:I152">C102-D102</f>
        <v>6016.900000000001</v>
      </c>
      <c r="J102" s="95"/>
      <c r="K102" s="154"/>
    </row>
    <row r="103" spans="1:11" s="94" customFormat="1" ht="18.75" customHeight="1">
      <c r="A103" s="103" t="s">
        <v>3</v>
      </c>
      <c r="B103" s="119">
        <v>145.5</v>
      </c>
      <c r="C103" s="120">
        <v>363.8</v>
      </c>
      <c r="D103" s="120">
        <f>31.2+4.8+33.9</f>
        <v>69.9</v>
      </c>
      <c r="E103" s="121">
        <f>D103/D102*100</f>
        <v>1.0159145410943975</v>
      </c>
      <c r="F103" s="107">
        <f>D103/B103*100</f>
        <v>48.04123711340206</v>
      </c>
      <c r="G103" s="121">
        <f>D103/C103*100</f>
        <v>19.21385376580539</v>
      </c>
      <c r="H103" s="120">
        <f t="shared" si="15"/>
        <v>75.6</v>
      </c>
      <c r="I103" s="120">
        <f t="shared" si="16"/>
        <v>293.9</v>
      </c>
      <c r="K103" s="154"/>
    </row>
    <row r="104" spans="1:11" s="94" customFormat="1" ht="18">
      <c r="A104" s="122" t="s">
        <v>48</v>
      </c>
      <c r="B104" s="104">
        <f>7134.4-50+30.9</f>
        <v>7115.299999999999</v>
      </c>
      <c r="C104" s="105">
        <f>8949.2-91.2+1682.1+14.9</f>
        <v>10555</v>
      </c>
      <c r="D104" s="105">
        <f>144.4+120.5+0.1+30.9+51.6+143.7+13.5+25.2+149.6+13.2+89.8+139.7+98.3+5.4+242.1+58+85.3+255.7+143.8+288+14+143.1+279.2+72.1+105.1+85.1+152.8+111.4+4.2+3.8+32.7+179.1+117.7+1.8+39+92.5+1.8+43.8+330+35+1.8+93.6+61.9+1.8+115.5+1668.2+140+96.2+37.2+52+150.6</f>
        <v>6361.8</v>
      </c>
      <c r="E104" s="107">
        <f>D104/D102*100</f>
        <v>92.46130368432529</v>
      </c>
      <c r="F104" s="107">
        <f aca="true" t="shared" si="17" ref="F104:F152">D104/B104*100</f>
        <v>89.41014433685159</v>
      </c>
      <c r="G104" s="107">
        <f t="shared" si="14"/>
        <v>60.272856466129795</v>
      </c>
      <c r="H104" s="105">
        <f t="shared" si="15"/>
        <v>753.4999999999991</v>
      </c>
      <c r="I104" s="105">
        <f t="shared" si="16"/>
        <v>4193.2</v>
      </c>
      <c r="K104" s="154"/>
    </row>
    <row r="105" spans="1:11" s="94" customFormat="1" ht="54.75" hidden="1" thickBot="1">
      <c r="A105" s="123" t="s">
        <v>79</v>
      </c>
      <c r="B105" s="124"/>
      <c r="C105" s="124"/>
      <c r="D105" s="124"/>
      <c r="E105" s="125">
        <f>D105/D102*100</f>
        <v>0</v>
      </c>
      <c r="F105" s="125" t="e">
        <f>D105/B105*100</f>
        <v>#DIV/0!</v>
      </c>
      <c r="G105" s="125" t="e">
        <f>D105/C105*100</f>
        <v>#DIV/0!</v>
      </c>
      <c r="H105" s="126">
        <f t="shared" si="15"/>
        <v>0</v>
      </c>
      <c r="I105" s="126">
        <f>C105-D105</f>
        <v>0</v>
      </c>
      <c r="K105" s="154"/>
    </row>
    <row r="106" spans="1:11" s="94" customFormat="1" ht="18.75" thickBot="1">
      <c r="A106" s="123" t="s">
        <v>27</v>
      </c>
      <c r="B106" s="124">
        <f>B102-B103-B104</f>
        <v>967</v>
      </c>
      <c r="C106" s="124">
        <f>C102-C103-C104</f>
        <v>1978.6000000000004</v>
      </c>
      <c r="D106" s="124">
        <f>D102-D103-D104</f>
        <v>448.7999999999993</v>
      </c>
      <c r="E106" s="125">
        <f>D106/D102*100</f>
        <v>6.522781774580326</v>
      </c>
      <c r="F106" s="125">
        <f t="shared" si="17"/>
        <v>46.41158221302992</v>
      </c>
      <c r="G106" s="125">
        <f t="shared" si="14"/>
        <v>22.682704942888872</v>
      </c>
      <c r="H106" s="126">
        <f t="shared" si="15"/>
        <v>518.2000000000007</v>
      </c>
      <c r="I106" s="126">
        <f t="shared" si="16"/>
        <v>1529.800000000001</v>
      </c>
      <c r="K106" s="154"/>
    </row>
    <row r="107" spans="1:12" s="2" customFormat="1" ht="26.25" customHeight="1" thickBot="1">
      <c r="A107" s="67" t="s">
        <v>28</v>
      </c>
      <c r="B107" s="68">
        <f>SUM(B108:B151)-B115-B120+B152-B142-B143-B109-B112-B123-B124-B140-B133-B131-B138-B118</f>
        <v>237576.70000000004</v>
      </c>
      <c r="C107" s="68">
        <f>SUM(C108:C151)-C115-C120+C152-C142-C143-C109-C112-C123-C124-C140-C133-C131-C138</f>
        <v>564100.8999999999</v>
      </c>
      <c r="D107" s="68">
        <f>SUM(D108:D151)-D115-D120+D152-D142-D143-D109-D112-D123-D124-D140-D133-D131-D138-D118</f>
        <v>165286.29999999996</v>
      </c>
      <c r="E107" s="69">
        <f>D107/D154*100</f>
        <v>18.24356124406456</v>
      </c>
      <c r="F107" s="69">
        <f>D107/B107*100</f>
        <v>69.57176356098891</v>
      </c>
      <c r="G107" s="69">
        <f t="shared" si="14"/>
        <v>29.300839619295054</v>
      </c>
      <c r="H107" s="68">
        <f t="shared" si="15"/>
        <v>72290.40000000008</v>
      </c>
      <c r="I107" s="68">
        <f t="shared" si="16"/>
        <v>398814.6</v>
      </c>
      <c r="J107" s="114"/>
      <c r="K107" s="154"/>
      <c r="L107" s="97"/>
    </row>
    <row r="108" spans="1:12" s="94" customFormat="1" ht="37.5">
      <c r="A108" s="98" t="s">
        <v>52</v>
      </c>
      <c r="B108" s="163">
        <v>2257.5</v>
      </c>
      <c r="C108" s="160">
        <v>4459</v>
      </c>
      <c r="D108" s="99">
        <f>17.1+81.1+17.3+60.5+173.3+3.4+2+0.4+29.3+1.7+177.1+0.8+38.8+139.8+0.3+1.9+1.8+6.5+136+91.3+0.1+1.8+1.1+2.4+3.5+2+3.4+72.2+73.1+42.5+21.2+13.2+0.2+17.6-34.7+31.4+109.2+11.6+31.6+1.8</f>
        <v>1385.5999999999995</v>
      </c>
      <c r="E108" s="100">
        <f>D108/D107*100</f>
        <v>0.8383029930490304</v>
      </c>
      <c r="F108" s="100">
        <f t="shared" si="17"/>
        <v>61.37763012181614</v>
      </c>
      <c r="G108" s="100">
        <f t="shared" si="14"/>
        <v>31.07423189055841</v>
      </c>
      <c r="H108" s="101">
        <f t="shared" si="15"/>
        <v>871.9000000000005</v>
      </c>
      <c r="I108" s="101">
        <f t="shared" si="16"/>
        <v>3073.4000000000005</v>
      </c>
      <c r="K108" s="154"/>
      <c r="L108" s="102"/>
    </row>
    <row r="109" spans="1:12" s="94" customFormat="1" ht="18.75">
      <c r="A109" s="103" t="s">
        <v>25</v>
      </c>
      <c r="B109" s="104">
        <v>1000.3</v>
      </c>
      <c r="C109" s="105">
        <v>1995</v>
      </c>
      <c r="D109" s="106">
        <f>47.8+0.9+59.7+88.3+0.1+59.2+38.8+107.4+24+91.1+38+42.5+2+31.4</f>
        <v>631.2</v>
      </c>
      <c r="E109" s="107">
        <f>D109/D108*100</f>
        <v>45.55427251732104</v>
      </c>
      <c r="F109" s="107">
        <f t="shared" si="17"/>
        <v>63.10106967909628</v>
      </c>
      <c r="G109" s="107">
        <f t="shared" si="14"/>
        <v>31.639097744360907</v>
      </c>
      <c r="H109" s="105">
        <f aca="true" t="shared" si="18" ref="H109:H152">B109-D109</f>
        <v>369.0999999999999</v>
      </c>
      <c r="I109" s="105">
        <f t="shared" si="16"/>
        <v>1363.8</v>
      </c>
      <c r="K109" s="154"/>
      <c r="L109" s="102"/>
    </row>
    <row r="110" spans="1:12" s="94" customFormat="1" ht="34.5" customHeight="1" hidden="1">
      <c r="A110" s="108" t="s">
        <v>78</v>
      </c>
      <c r="B110" s="162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4"/>
      <c r="L110" s="102"/>
    </row>
    <row r="111" spans="1:12" s="95" customFormat="1" ht="34.5" customHeight="1">
      <c r="A111" s="108" t="s">
        <v>93</v>
      </c>
      <c r="B111" s="164">
        <v>110.9</v>
      </c>
      <c r="C111" s="109">
        <v>200</v>
      </c>
      <c r="D111" s="110"/>
      <c r="E111" s="100">
        <f>D111/D107*100</f>
        <v>0</v>
      </c>
      <c r="F111" s="111">
        <f t="shared" si="17"/>
        <v>0</v>
      </c>
      <c r="G111" s="100">
        <f t="shared" si="14"/>
        <v>0</v>
      </c>
      <c r="H111" s="101">
        <f t="shared" si="18"/>
        <v>110.9</v>
      </c>
      <c r="I111" s="101">
        <f t="shared" si="16"/>
        <v>200</v>
      </c>
      <c r="K111" s="154"/>
      <c r="L111" s="102"/>
    </row>
    <row r="112" spans="1:12" s="94" customFormat="1" ht="18.75" hidden="1">
      <c r="A112" s="103" t="s">
        <v>25</v>
      </c>
      <c r="B112" s="161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4"/>
      <c r="L112" s="102"/>
    </row>
    <row r="113" spans="1:12" s="94" customFormat="1" ht="18.75">
      <c r="A113" s="108" t="s">
        <v>89</v>
      </c>
      <c r="B113" s="164">
        <v>46.7</v>
      </c>
      <c r="C113" s="101">
        <v>64.3</v>
      </c>
      <c r="D113" s="99"/>
      <c r="E113" s="100">
        <f>D113/D107*100</f>
        <v>0</v>
      </c>
      <c r="F113" s="100">
        <f t="shared" si="17"/>
        <v>0</v>
      </c>
      <c r="G113" s="100">
        <f t="shared" si="14"/>
        <v>0</v>
      </c>
      <c r="H113" s="101">
        <f t="shared" si="18"/>
        <v>46.7</v>
      </c>
      <c r="I113" s="101">
        <f t="shared" si="16"/>
        <v>64.3</v>
      </c>
      <c r="K113" s="154"/>
      <c r="L113" s="102"/>
    </row>
    <row r="114" spans="1:12" s="94" customFormat="1" ht="37.5">
      <c r="A114" s="108" t="s">
        <v>38</v>
      </c>
      <c r="B114" s="164">
        <v>1699.7</v>
      </c>
      <c r="C114" s="101">
        <v>3311.5</v>
      </c>
      <c r="D114" s="99">
        <f>136.4+10+40+6.6+6.1+0.2+177.4+10+1.8+25.1+29.4+48.1+8.1+193.1+10+0.1+17.8+8.8+132.4+79.7+12.6+4.3+3.5+212.4+8.1+0.4+10.8</f>
        <v>1193.2</v>
      </c>
      <c r="E114" s="100">
        <f>D114/D107*100</f>
        <v>0.7218989111620264</v>
      </c>
      <c r="F114" s="100">
        <f t="shared" si="17"/>
        <v>70.20062363946579</v>
      </c>
      <c r="G114" s="100">
        <f t="shared" si="14"/>
        <v>36.03200966329458</v>
      </c>
      <c r="H114" s="101">
        <f t="shared" si="18"/>
        <v>506.5</v>
      </c>
      <c r="I114" s="101">
        <f t="shared" si="16"/>
        <v>2118.3</v>
      </c>
      <c r="K114" s="154"/>
      <c r="L114" s="102"/>
    </row>
    <row r="115" spans="1:12" s="94" customFormat="1" ht="18.75" hidden="1">
      <c r="A115" s="112" t="s">
        <v>43</v>
      </c>
      <c r="B115" s="161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4"/>
      <c r="L115" s="102"/>
    </row>
    <row r="116" spans="1:12" s="95" customFormat="1" ht="18.75" customHeight="1" hidden="1">
      <c r="A116" s="108" t="s">
        <v>90</v>
      </c>
      <c r="B116" s="162"/>
      <c r="C116" s="109"/>
      <c r="D116" s="110"/>
      <c r="E116" s="113">
        <f>D116/D107*100</f>
        <v>0</v>
      </c>
      <c r="F116" s="100" t="e">
        <f t="shared" si="17"/>
        <v>#DIV/0!</v>
      </c>
      <c r="G116" s="113" t="e">
        <f t="shared" si="14"/>
        <v>#DIV/0!</v>
      </c>
      <c r="H116" s="109">
        <f t="shared" si="18"/>
        <v>0</v>
      </c>
      <c r="I116" s="109">
        <f t="shared" si="16"/>
        <v>0</v>
      </c>
      <c r="K116" s="154"/>
      <c r="L116" s="102"/>
    </row>
    <row r="117" spans="1:12" s="94" customFormat="1" ht="37.5">
      <c r="A117" s="108" t="s">
        <v>47</v>
      </c>
      <c r="B117" s="164">
        <v>159</v>
      </c>
      <c r="C117" s="101">
        <v>200</v>
      </c>
      <c r="D117" s="99">
        <f>15+40</f>
        <v>55</v>
      </c>
      <c r="E117" s="100">
        <f>D117/D107*100</f>
        <v>0.03327559513401898</v>
      </c>
      <c r="F117" s="100">
        <f>D117/B117*100</f>
        <v>34.59119496855346</v>
      </c>
      <c r="G117" s="100">
        <f t="shared" si="14"/>
        <v>27.500000000000004</v>
      </c>
      <c r="H117" s="101">
        <f t="shared" si="18"/>
        <v>104</v>
      </c>
      <c r="I117" s="101">
        <f t="shared" si="16"/>
        <v>145</v>
      </c>
      <c r="K117" s="154"/>
      <c r="L117" s="102"/>
    </row>
    <row r="118" spans="1:12" s="94" customFormat="1" ht="18.75">
      <c r="A118" s="112" t="s">
        <v>88</v>
      </c>
      <c r="B118" s="104">
        <v>40</v>
      </c>
      <c r="C118" s="105">
        <v>40</v>
      </c>
      <c r="D118" s="106">
        <v>40</v>
      </c>
      <c r="E118" s="107">
        <f>D118/D117*100</f>
        <v>72.72727272727273</v>
      </c>
      <c r="F118" s="107">
        <f>D118/B118*100</f>
        <v>100</v>
      </c>
      <c r="G118" s="107">
        <f>D118/C118*100</f>
        <v>100</v>
      </c>
      <c r="H118" s="105">
        <f>B118-D118</f>
        <v>0</v>
      </c>
      <c r="I118" s="105">
        <f>C118-D118</f>
        <v>0</v>
      </c>
      <c r="K118" s="154"/>
      <c r="L118" s="102"/>
    </row>
    <row r="119" spans="1:12" s="114" customFormat="1" ht="18.75">
      <c r="A119" s="108" t="s">
        <v>15</v>
      </c>
      <c r="B119" s="164">
        <v>268.5</v>
      </c>
      <c r="C119" s="109">
        <v>491.6</v>
      </c>
      <c r="D119" s="99">
        <f>45.4+9.9+47+6.4+0.4+0.4+45.4+0.4+2.9+45.4+4+6.8+0.4+45.4+0.1+5.8+0.8+0.4</f>
        <v>267.30000000000007</v>
      </c>
      <c r="E119" s="100">
        <f>D119/D107*100</f>
        <v>0.1617193923513323</v>
      </c>
      <c r="F119" s="100">
        <f t="shared" si="17"/>
        <v>99.55307262569835</v>
      </c>
      <c r="G119" s="100">
        <f t="shared" si="14"/>
        <v>54.373474369406026</v>
      </c>
      <c r="H119" s="101">
        <f t="shared" si="18"/>
        <v>1.1999999999999318</v>
      </c>
      <c r="I119" s="101">
        <f t="shared" si="16"/>
        <v>224.29999999999995</v>
      </c>
      <c r="K119" s="154"/>
      <c r="L119" s="102"/>
    </row>
    <row r="120" spans="1:12" s="115" customFormat="1" ht="18.75">
      <c r="A120" s="112" t="s">
        <v>43</v>
      </c>
      <c r="B120" s="104">
        <v>227.1</v>
      </c>
      <c r="C120" s="105">
        <v>408.8</v>
      </c>
      <c r="D120" s="106">
        <f>45.4+45.4+45.4+45.4+45.4+0.1</f>
        <v>227.1</v>
      </c>
      <c r="E120" s="107">
        <f>D120/D119*100</f>
        <v>84.9607182940516</v>
      </c>
      <c r="F120" s="107">
        <f t="shared" si="17"/>
        <v>100</v>
      </c>
      <c r="G120" s="107">
        <f t="shared" si="14"/>
        <v>55.55283757338552</v>
      </c>
      <c r="H120" s="105">
        <f t="shared" si="18"/>
        <v>0</v>
      </c>
      <c r="I120" s="105">
        <f t="shared" si="16"/>
        <v>181.70000000000002</v>
      </c>
      <c r="K120" s="154"/>
      <c r="L120" s="102"/>
    </row>
    <row r="121" spans="1:12" s="114" customFormat="1" ht="18.75">
      <c r="A121" s="108" t="s">
        <v>105</v>
      </c>
      <c r="B121" s="164">
        <v>125</v>
      </c>
      <c r="C121" s="109">
        <v>317</v>
      </c>
      <c r="D121" s="99">
        <v>3.6</v>
      </c>
      <c r="E121" s="100">
        <f>D121/D107*100</f>
        <v>0.002178038954226697</v>
      </c>
      <c r="F121" s="100">
        <f t="shared" si="17"/>
        <v>2.88</v>
      </c>
      <c r="G121" s="100">
        <f t="shared" si="14"/>
        <v>1.135646687697161</v>
      </c>
      <c r="H121" s="101">
        <f t="shared" si="18"/>
        <v>121.4</v>
      </c>
      <c r="I121" s="101">
        <f t="shared" si="16"/>
        <v>313.4</v>
      </c>
      <c r="K121" s="154"/>
      <c r="L121" s="102"/>
    </row>
    <row r="122" spans="1:12" s="114" customFormat="1" ht="21.75" customHeight="1">
      <c r="A122" s="108" t="s">
        <v>94</v>
      </c>
      <c r="B122" s="164">
        <f>480-268.6</f>
        <v>211.39999999999998</v>
      </c>
      <c r="C122" s="109">
        <f>480+80</f>
        <v>560</v>
      </c>
      <c r="D122" s="110">
        <f>12</f>
        <v>12</v>
      </c>
      <c r="E122" s="113">
        <f>D122/D107*100</f>
        <v>0.007260129847422323</v>
      </c>
      <c r="F122" s="100">
        <f t="shared" si="17"/>
        <v>5.676442762535478</v>
      </c>
      <c r="G122" s="100">
        <f t="shared" si="14"/>
        <v>2.142857142857143</v>
      </c>
      <c r="H122" s="101">
        <f t="shared" si="18"/>
        <v>199.39999999999998</v>
      </c>
      <c r="I122" s="101">
        <f t="shared" si="16"/>
        <v>548</v>
      </c>
      <c r="K122" s="154"/>
      <c r="L122" s="102"/>
    </row>
    <row r="123" spans="1:12" s="117" customFormat="1" ht="18.75" hidden="1">
      <c r="A123" s="103" t="s">
        <v>80</v>
      </c>
      <c r="B123" s="161"/>
      <c r="C123" s="105"/>
      <c r="D123" s="106"/>
      <c r="E123" s="100"/>
      <c r="F123" s="116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4"/>
      <c r="L123" s="102"/>
    </row>
    <row r="124" spans="1:12" s="117" customFormat="1" ht="18.75" hidden="1">
      <c r="A124" s="103" t="s">
        <v>49</v>
      </c>
      <c r="B124" s="161"/>
      <c r="C124" s="105"/>
      <c r="D124" s="106"/>
      <c r="E124" s="100"/>
      <c r="F124" s="107" t="e">
        <f>D124/B124*100</f>
        <v>#DIV/0!</v>
      </c>
      <c r="G124" s="107" t="e">
        <f t="shared" si="14"/>
        <v>#DIV/0!</v>
      </c>
      <c r="H124" s="105">
        <f t="shared" si="18"/>
        <v>0</v>
      </c>
      <c r="I124" s="105">
        <f t="shared" si="16"/>
        <v>0</v>
      </c>
      <c r="K124" s="154"/>
      <c r="L124" s="102"/>
    </row>
    <row r="125" spans="1:12" s="114" customFormat="1" ht="37.5">
      <c r="A125" s="108" t="s">
        <v>95</v>
      </c>
      <c r="B125" s="164">
        <f>24768.3+1268.6</f>
        <v>26036.899999999998</v>
      </c>
      <c r="C125" s="109">
        <v>45511.3</v>
      </c>
      <c r="D125" s="110">
        <f>3529.6+2264.3+1265.3+2996.5+533.1+738.7+2380.2+1722.3+1049.4+1874.1+1476.2+1455.5+94.4+1416+1268.6+1913.6</f>
        <v>25977.8</v>
      </c>
      <c r="E125" s="113">
        <f>D125/D107*100</f>
        <v>15.716850095863968</v>
      </c>
      <c r="F125" s="100">
        <f t="shared" si="17"/>
        <v>99.7730144525654</v>
      </c>
      <c r="G125" s="100">
        <f t="shared" si="14"/>
        <v>57.07989004928445</v>
      </c>
      <c r="H125" s="101">
        <f t="shared" si="18"/>
        <v>59.099999999998545</v>
      </c>
      <c r="I125" s="101">
        <f t="shared" si="16"/>
        <v>19533.500000000004</v>
      </c>
      <c r="K125" s="154"/>
      <c r="L125" s="102"/>
    </row>
    <row r="126" spans="1:12" s="114" customFormat="1" ht="18.75">
      <c r="A126" s="108" t="s">
        <v>91</v>
      </c>
      <c r="B126" s="164">
        <v>655</v>
      </c>
      <c r="C126" s="109">
        <v>700</v>
      </c>
      <c r="D126" s="110">
        <f>9.6+1.5</f>
        <v>11.1</v>
      </c>
      <c r="E126" s="113">
        <f>D126/D107*100</f>
        <v>0.0067156201088656485</v>
      </c>
      <c r="F126" s="100">
        <f t="shared" si="17"/>
        <v>1.6946564885496185</v>
      </c>
      <c r="G126" s="100">
        <f t="shared" si="14"/>
        <v>1.5857142857142859</v>
      </c>
      <c r="H126" s="101">
        <f t="shared" si="18"/>
        <v>643.9</v>
      </c>
      <c r="I126" s="101">
        <f t="shared" si="16"/>
        <v>688.9</v>
      </c>
      <c r="K126" s="154"/>
      <c r="L126" s="102"/>
    </row>
    <row r="127" spans="1:12" s="114" customFormat="1" ht="37.5">
      <c r="A127" s="108" t="s">
        <v>100</v>
      </c>
      <c r="B127" s="164">
        <v>200</v>
      </c>
      <c r="C127" s="109">
        <v>200</v>
      </c>
      <c r="D127" s="110"/>
      <c r="E127" s="113">
        <f>D127/D107*100</f>
        <v>0</v>
      </c>
      <c r="F127" s="100">
        <f t="shared" si="17"/>
        <v>0</v>
      </c>
      <c r="G127" s="100">
        <f t="shared" si="14"/>
        <v>0</v>
      </c>
      <c r="H127" s="101">
        <f t="shared" si="18"/>
        <v>200</v>
      </c>
      <c r="I127" s="101">
        <f t="shared" si="16"/>
        <v>200</v>
      </c>
      <c r="K127" s="154"/>
      <c r="L127" s="102"/>
    </row>
    <row r="128" spans="1:12" s="114" customFormat="1" ht="37.5">
      <c r="A128" s="108" t="s">
        <v>85</v>
      </c>
      <c r="B128" s="164">
        <v>74</v>
      </c>
      <c r="C128" s="109">
        <f>111.1</f>
        <v>111.1</v>
      </c>
      <c r="D128" s="110"/>
      <c r="E128" s="113">
        <f>D128/D107*100</f>
        <v>0</v>
      </c>
      <c r="F128" s="100">
        <f t="shared" si="17"/>
        <v>0</v>
      </c>
      <c r="G128" s="100">
        <f t="shared" si="14"/>
        <v>0</v>
      </c>
      <c r="H128" s="101">
        <f t="shared" si="18"/>
        <v>74</v>
      </c>
      <c r="I128" s="101">
        <f t="shared" si="16"/>
        <v>111.1</v>
      </c>
      <c r="K128" s="154"/>
      <c r="L128" s="102"/>
    </row>
    <row r="129" spans="1:12" s="114" customFormat="1" ht="18.75" hidden="1">
      <c r="A129" s="112" t="s">
        <v>83</v>
      </c>
      <c r="B129" s="162"/>
      <c r="C129" s="109"/>
      <c r="D129" s="110"/>
      <c r="E129" s="113">
        <f>D129/D108*100</f>
        <v>0</v>
      </c>
      <c r="F129" s="100" t="e">
        <f t="shared" si="17"/>
        <v>#DIV/0!</v>
      </c>
      <c r="G129" s="100" t="e">
        <f t="shared" si="14"/>
        <v>#DIV/0!</v>
      </c>
      <c r="H129" s="101">
        <f t="shared" si="18"/>
        <v>0</v>
      </c>
      <c r="I129" s="101">
        <f t="shared" si="16"/>
        <v>0</v>
      </c>
      <c r="K129" s="154"/>
      <c r="L129" s="102"/>
    </row>
    <row r="130" spans="1:12" s="114" customFormat="1" ht="37.5">
      <c r="A130" s="108" t="s">
        <v>57</v>
      </c>
      <c r="B130" s="164">
        <v>255.5</v>
      </c>
      <c r="C130" s="109">
        <v>942</v>
      </c>
      <c r="D130" s="110">
        <f>7+4.2+0.1+12.3+0.2+7.1+17.8+14.9+1.7+0.1+7.4+7+2.7+3.7+7.1+5.3+31.3+16.4+2.5+1.7+26.7+0.1+13.8+0.1+2.9+6.5+0.6+7+4.8+0.1+17.3</f>
        <v>230.4</v>
      </c>
      <c r="E130" s="113">
        <f>D130/D107*100</f>
        <v>0.1393944930705086</v>
      </c>
      <c r="F130" s="100">
        <f t="shared" si="17"/>
        <v>90.1761252446184</v>
      </c>
      <c r="G130" s="100">
        <f t="shared" si="14"/>
        <v>24.45859872611465</v>
      </c>
      <c r="H130" s="101">
        <f t="shared" si="18"/>
        <v>25.099999999999994</v>
      </c>
      <c r="I130" s="101">
        <f t="shared" si="16"/>
        <v>711.6</v>
      </c>
      <c r="K130" s="154"/>
      <c r="L130" s="102"/>
    </row>
    <row r="131" spans="1:12" s="115" customFormat="1" ht="18.75">
      <c r="A131" s="103" t="s">
        <v>88</v>
      </c>
      <c r="B131" s="104">
        <v>43.6</v>
      </c>
      <c r="C131" s="105">
        <v>510.8</v>
      </c>
      <c r="D131" s="106">
        <f>7+7.1+7+7.1+7</f>
        <v>35.2</v>
      </c>
      <c r="E131" s="107">
        <f>D131/D130*100</f>
        <v>15.277777777777779</v>
      </c>
      <c r="F131" s="107">
        <f>D131/B131*100</f>
        <v>80.73394495412845</v>
      </c>
      <c r="G131" s="107">
        <f t="shared" si="14"/>
        <v>6.891151135473766</v>
      </c>
      <c r="H131" s="105">
        <f t="shared" si="18"/>
        <v>8.399999999999999</v>
      </c>
      <c r="I131" s="105">
        <f t="shared" si="16"/>
        <v>475.6</v>
      </c>
      <c r="K131" s="154"/>
      <c r="L131" s="102"/>
    </row>
    <row r="132" spans="1:12" s="114" customFormat="1" ht="37.5">
      <c r="A132" s="108" t="s">
        <v>103</v>
      </c>
      <c r="B132" s="164">
        <v>210</v>
      </c>
      <c r="C132" s="109">
        <v>485</v>
      </c>
      <c r="D132" s="110"/>
      <c r="E132" s="113">
        <f>D132/D107*100</f>
        <v>0</v>
      </c>
      <c r="F132" s="111">
        <f t="shared" si="17"/>
        <v>0</v>
      </c>
      <c r="G132" s="100">
        <f t="shared" si="14"/>
        <v>0</v>
      </c>
      <c r="H132" s="101">
        <f t="shared" si="18"/>
        <v>210</v>
      </c>
      <c r="I132" s="101">
        <f t="shared" si="16"/>
        <v>485</v>
      </c>
      <c r="K132" s="154"/>
      <c r="L132" s="102"/>
    </row>
    <row r="133" spans="1:12" s="115" customFormat="1" ht="18.75" hidden="1">
      <c r="A133" s="112" t="s">
        <v>43</v>
      </c>
      <c r="B133" s="161"/>
      <c r="C133" s="105"/>
      <c r="D133" s="106"/>
      <c r="E133" s="107"/>
      <c r="F133" s="107" t="e">
        <f>D133/B133*100</f>
        <v>#DIV/0!</v>
      </c>
      <c r="G133" s="107" t="e">
        <f t="shared" si="14"/>
        <v>#DIV/0!</v>
      </c>
      <c r="H133" s="105">
        <f t="shared" si="18"/>
        <v>0</v>
      </c>
      <c r="I133" s="105">
        <f t="shared" si="16"/>
        <v>0</v>
      </c>
      <c r="K133" s="154"/>
      <c r="L133" s="102"/>
    </row>
    <row r="134" spans="1:12" s="114" customFormat="1" ht="35.25" customHeight="1" hidden="1">
      <c r="A134" s="108" t="s">
        <v>102</v>
      </c>
      <c r="B134" s="162"/>
      <c r="C134" s="109"/>
      <c r="D134" s="110"/>
      <c r="E134" s="113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>C134-D134</f>
        <v>0</v>
      </c>
      <c r="K134" s="154"/>
      <c r="L134" s="102"/>
    </row>
    <row r="135" spans="1:12" s="114" customFormat="1" ht="21.75" customHeight="1" hidden="1">
      <c r="A135" s="108" t="s">
        <v>101</v>
      </c>
      <c r="B135" s="162"/>
      <c r="C135" s="109"/>
      <c r="D135" s="110"/>
      <c r="E135" s="113">
        <f>D135/D107*100</f>
        <v>0</v>
      </c>
      <c r="F135" s="100" t="e">
        <f t="shared" si="17"/>
        <v>#DIV/0!</v>
      </c>
      <c r="G135" s="100" t="e">
        <f t="shared" si="14"/>
        <v>#DIV/0!</v>
      </c>
      <c r="H135" s="101">
        <f t="shared" si="18"/>
        <v>0</v>
      </c>
      <c r="I135" s="101">
        <f t="shared" si="16"/>
        <v>0</v>
      </c>
      <c r="K135" s="154"/>
      <c r="L135" s="102"/>
    </row>
    <row r="136" spans="1:12" s="114" customFormat="1" ht="35.25" customHeight="1">
      <c r="A136" s="108" t="s">
        <v>87</v>
      </c>
      <c r="B136" s="164">
        <f>175-120</f>
        <v>55</v>
      </c>
      <c r="C136" s="109">
        <v>383.2</v>
      </c>
      <c r="D136" s="110">
        <f>2.9+1.5+9.7+8.2+0.2-0.4+16</f>
        <v>38.099999999999994</v>
      </c>
      <c r="E136" s="113">
        <f>D136/D107*100</f>
        <v>0.02305091226556587</v>
      </c>
      <c r="F136" s="100">
        <f t="shared" si="17"/>
        <v>69.27272727272727</v>
      </c>
      <c r="G136" s="100">
        <f t="shared" si="14"/>
        <v>9.942588726513568</v>
      </c>
      <c r="H136" s="101">
        <f t="shared" si="18"/>
        <v>16.900000000000006</v>
      </c>
      <c r="I136" s="101">
        <f t="shared" si="16"/>
        <v>345.1</v>
      </c>
      <c r="K136" s="154"/>
      <c r="L136" s="102"/>
    </row>
    <row r="137" spans="1:12" s="114" customFormat="1" ht="39" customHeight="1">
      <c r="A137" s="108" t="s">
        <v>54</v>
      </c>
      <c r="B137" s="164">
        <v>120</v>
      </c>
      <c r="C137" s="109">
        <v>350</v>
      </c>
      <c r="D137" s="110">
        <f>3.7+1.9+30</f>
        <v>35.6</v>
      </c>
      <c r="E137" s="113">
        <f>D137/D107*100</f>
        <v>0.02153838521401956</v>
      </c>
      <c r="F137" s="100">
        <f t="shared" si="17"/>
        <v>29.666666666666668</v>
      </c>
      <c r="G137" s="100">
        <f t="shared" si="14"/>
        <v>10.17142857142857</v>
      </c>
      <c r="H137" s="101">
        <f t="shared" si="18"/>
        <v>84.4</v>
      </c>
      <c r="I137" s="101">
        <f t="shared" si="16"/>
        <v>314.4</v>
      </c>
      <c r="K137" s="154"/>
      <c r="L137" s="102"/>
    </row>
    <row r="138" spans="1:12" s="115" customFormat="1" ht="18.75">
      <c r="A138" s="103" t="s">
        <v>88</v>
      </c>
      <c r="B138" s="104">
        <v>38</v>
      </c>
      <c r="C138" s="105">
        <v>110</v>
      </c>
      <c r="D138" s="106">
        <f>3.7+1.9</f>
        <v>5.6</v>
      </c>
      <c r="E138" s="107"/>
      <c r="F138" s="100">
        <f>D138/B138*100</f>
        <v>14.736842105263156</v>
      </c>
      <c r="G138" s="107">
        <f>D138/C138*100</f>
        <v>5.09090909090909</v>
      </c>
      <c r="H138" s="105">
        <f>B138-D138</f>
        <v>32.4</v>
      </c>
      <c r="I138" s="105">
        <f>C138-D138</f>
        <v>104.4</v>
      </c>
      <c r="K138" s="154"/>
      <c r="L138" s="102"/>
    </row>
    <row r="139" spans="1:12" s="114" customFormat="1" ht="32.25" customHeight="1">
      <c r="A139" s="108" t="s">
        <v>84</v>
      </c>
      <c r="B139" s="164">
        <v>345.7</v>
      </c>
      <c r="C139" s="109">
        <v>607.7</v>
      </c>
      <c r="D139" s="110">
        <f>76+0.3+41+44+1.8+16.3+2.4+30+0.6+0.2+27.4+0.2+4.5-0.2+31.4</f>
        <v>275.90000000000003</v>
      </c>
      <c r="E139" s="113">
        <f>D139/D107*100</f>
        <v>0.1669224854086516</v>
      </c>
      <c r="F139" s="100">
        <f>D139/B139*100</f>
        <v>79.80908301995952</v>
      </c>
      <c r="G139" s="100">
        <f>D139/C139*100</f>
        <v>45.40069113049202</v>
      </c>
      <c r="H139" s="101">
        <f t="shared" si="18"/>
        <v>69.79999999999995</v>
      </c>
      <c r="I139" s="101">
        <f t="shared" si="16"/>
        <v>331.8</v>
      </c>
      <c r="K139" s="154"/>
      <c r="L139" s="102"/>
    </row>
    <row r="140" spans="1:12" s="115" customFormat="1" ht="18.75">
      <c r="A140" s="103" t="s">
        <v>25</v>
      </c>
      <c r="B140" s="104">
        <v>283.8</v>
      </c>
      <c r="C140" s="105">
        <v>489.6</v>
      </c>
      <c r="D140" s="106">
        <f>76+37.6+44+1.2+0.7+30+27.4+30.6</f>
        <v>247.49999999999997</v>
      </c>
      <c r="E140" s="107">
        <f>D140/D139*100</f>
        <v>89.70641536788689</v>
      </c>
      <c r="F140" s="107">
        <f t="shared" si="17"/>
        <v>87.20930232558139</v>
      </c>
      <c r="G140" s="107">
        <f>D140/C140*100</f>
        <v>50.55147058823528</v>
      </c>
      <c r="H140" s="105">
        <f t="shared" si="18"/>
        <v>36.30000000000004</v>
      </c>
      <c r="I140" s="105">
        <f t="shared" si="16"/>
        <v>242.10000000000005</v>
      </c>
      <c r="K140" s="154"/>
      <c r="L140" s="102"/>
    </row>
    <row r="141" spans="1:12" s="114" customFormat="1" ht="18.75">
      <c r="A141" s="108" t="s">
        <v>96</v>
      </c>
      <c r="B141" s="164">
        <v>892</v>
      </c>
      <c r="C141" s="109">
        <v>1760</v>
      </c>
      <c r="D141" s="110">
        <f>107.3+0.4+30.4+78.2+4.1+36.9+117.9+50.5+112.6+5.2+52.3+10.5+76.8-0.2+10.4+82.9</f>
        <v>776.1999999999999</v>
      </c>
      <c r="E141" s="113">
        <f>D141/D107*100</f>
        <v>0.46960939896410053</v>
      </c>
      <c r="F141" s="100">
        <f t="shared" si="17"/>
        <v>87.01793721973094</v>
      </c>
      <c r="G141" s="100">
        <f t="shared" si="14"/>
        <v>44.10227272727273</v>
      </c>
      <c r="H141" s="101">
        <f t="shared" si="18"/>
        <v>115.80000000000007</v>
      </c>
      <c r="I141" s="101">
        <f t="shared" si="16"/>
        <v>983.8000000000001</v>
      </c>
      <c r="K141" s="154"/>
      <c r="L141" s="102"/>
    </row>
    <row r="142" spans="1:12" s="115" customFormat="1" ht="18.75">
      <c r="A142" s="112" t="s">
        <v>43</v>
      </c>
      <c r="B142" s="104">
        <v>713.6</v>
      </c>
      <c r="C142" s="105">
        <v>1437.4</v>
      </c>
      <c r="D142" s="106">
        <f>107.3+25.4+76+34+76.6+47.2+83.8+4.5+35.4+76.8-0.2+60.7</f>
        <v>627.4999999999999</v>
      </c>
      <c r="E142" s="107">
        <f>D142/D141*100</f>
        <v>80.84256634887915</v>
      </c>
      <c r="F142" s="107">
        <f aca="true" t="shared" si="19" ref="F142:F151">D142/B142*100</f>
        <v>87.93441704035872</v>
      </c>
      <c r="G142" s="107">
        <f t="shared" si="14"/>
        <v>43.655210797272844</v>
      </c>
      <c r="H142" s="105">
        <f t="shared" si="18"/>
        <v>86.10000000000014</v>
      </c>
      <c r="I142" s="105">
        <f t="shared" si="16"/>
        <v>809.9000000000002</v>
      </c>
      <c r="K142" s="154"/>
      <c r="L142" s="102"/>
    </row>
    <row r="143" spans="1:13" s="115" customFormat="1" ht="18.75">
      <c r="A143" s="103" t="s">
        <v>25</v>
      </c>
      <c r="B143" s="104">
        <v>27.2</v>
      </c>
      <c r="C143" s="105">
        <v>40</v>
      </c>
      <c r="D143" s="106">
        <f>0.4+4.9+0.7+4.7+3.3+0.4+0.7+0.6</f>
        <v>15.7</v>
      </c>
      <c r="E143" s="107">
        <f>D143/D141*100</f>
        <v>2.0226745684102037</v>
      </c>
      <c r="F143" s="107">
        <f t="shared" si="19"/>
        <v>57.720588235294116</v>
      </c>
      <c r="G143" s="107">
        <f>D143/C143*100</f>
        <v>39.24999999999999</v>
      </c>
      <c r="H143" s="105">
        <f t="shared" si="18"/>
        <v>11.5</v>
      </c>
      <c r="I143" s="105">
        <f t="shared" si="16"/>
        <v>24.3</v>
      </c>
      <c r="K143" s="154"/>
      <c r="L143" s="102"/>
      <c r="M143" s="155"/>
    </row>
    <row r="144" spans="1:12" s="114" customFormat="1" ht="33.75" customHeight="1">
      <c r="A144" s="118" t="s">
        <v>56</v>
      </c>
      <c r="B144" s="164">
        <f>90+7.5+527</f>
        <v>624.5</v>
      </c>
      <c r="C144" s="109">
        <f>90+534.5</f>
        <v>624.5</v>
      </c>
      <c r="D144" s="110">
        <f>7.5+527</f>
        <v>534.5</v>
      </c>
      <c r="E144" s="113">
        <f>D144/D107*100</f>
        <v>0.32337828362060267</v>
      </c>
      <c r="F144" s="100">
        <f t="shared" si="19"/>
        <v>85.58847077662129</v>
      </c>
      <c r="G144" s="100">
        <f t="shared" si="14"/>
        <v>85.58847077662129</v>
      </c>
      <c r="H144" s="101">
        <f t="shared" si="18"/>
        <v>90</v>
      </c>
      <c r="I144" s="101">
        <f t="shared" si="16"/>
        <v>90</v>
      </c>
      <c r="K144" s="154"/>
      <c r="L144" s="102"/>
    </row>
    <row r="145" spans="1:12" s="114" customFormat="1" ht="18.75" hidden="1">
      <c r="A145" s="118" t="s">
        <v>92</v>
      </c>
      <c r="B145" s="162"/>
      <c r="C145" s="109"/>
      <c r="D145" s="110"/>
      <c r="E145" s="113">
        <f>D145/D107*100</f>
        <v>0</v>
      </c>
      <c r="F145" s="100" t="e">
        <f>D145/B145*100</f>
        <v>#DIV/0!</v>
      </c>
      <c r="G145" s="100" t="e">
        <f t="shared" si="14"/>
        <v>#DIV/0!</v>
      </c>
      <c r="H145" s="101">
        <f t="shared" si="18"/>
        <v>0</v>
      </c>
      <c r="I145" s="101">
        <f t="shared" si="16"/>
        <v>0</v>
      </c>
      <c r="K145" s="154"/>
      <c r="L145" s="102"/>
    </row>
    <row r="146" spans="1:12" s="114" customFormat="1" ht="18.75">
      <c r="A146" s="118" t="s">
        <v>97</v>
      </c>
      <c r="B146" s="164">
        <f>22821.5-1011+1000+2399</f>
        <v>25209.5</v>
      </c>
      <c r="C146" s="109">
        <f>56447.1-100+1500-3000+10865.4</f>
        <v>65712.5</v>
      </c>
      <c r="D146" s="110">
        <f>254.7+197.5+629.8+725.8+539.8+84+74.2+508.7+16.5+120.5+1481.6+832.6+99.5+375.2+120.4+395.9+31.6+377+15.9+619.7+572.8+566.7+1034+62.7+188.4+419+37.7+634.6+518.2+928.5+377.6+1251.3+39.1+1691.8+858.6+220.3+52.6+57.3+368.9+54.7+360.9+1446.9+190.3+188.4+3261.8</f>
        <v>22884.000000000004</v>
      </c>
      <c r="E146" s="113">
        <f>D146/D107*100</f>
        <v>13.84506761903437</v>
      </c>
      <c r="F146" s="100">
        <f t="shared" si="19"/>
        <v>90.77530296118528</v>
      </c>
      <c r="G146" s="100">
        <f t="shared" si="14"/>
        <v>34.82442457675481</v>
      </c>
      <c r="H146" s="101">
        <f t="shared" si="18"/>
        <v>2325.4999999999964</v>
      </c>
      <c r="I146" s="101">
        <f t="shared" si="16"/>
        <v>42828.5</v>
      </c>
      <c r="K146" s="154"/>
      <c r="L146" s="102"/>
    </row>
    <row r="147" spans="1:12" s="114" customFormat="1" ht="18.75" hidden="1">
      <c r="A147" s="118" t="s">
        <v>86</v>
      </c>
      <c r="B147" s="162"/>
      <c r="C147" s="109"/>
      <c r="D147" s="110"/>
      <c r="E147" s="113">
        <f>D147/D107*100</f>
        <v>0</v>
      </c>
      <c r="F147" s="100" t="e">
        <f t="shared" si="19"/>
        <v>#DIV/0!</v>
      </c>
      <c r="G147" s="100" t="e">
        <f t="shared" si="14"/>
        <v>#DIV/0!</v>
      </c>
      <c r="H147" s="101">
        <f t="shared" si="18"/>
        <v>0</v>
      </c>
      <c r="I147" s="101">
        <f t="shared" si="16"/>
        <v>0</v>
      </c>
      <c r="K147" s="154"/>
      <c r="L147" s="102"/>
    </row>
    <row r="148" spans="1:12" s="114" customFormat="1" ht="37.5" hidden="1">
      <c r="A148" s="118" t="s">
        <v>104</v>
      </c>
      <c r="B148" s="162"/>
      <c r="C148" s="109"/>
      <c r="D148" s="110"/>
      <c r="E148" s="113">
        <f>D148/D109*100</f>
        <v>0</v>
      </c>
      <c r="F148" s="100" t="e">
        <f>D148/B148*100</f>
        <v>#DIV/0!</v>
      </c>
      <c r="G148" s="100" t="e">
        <f>D148/C148*100</f>
        <v>#DIV/0!</v>
      </c>
      <c r="H148" s="101">
        <f>B148-D148</f>
        <v>0</v>
      </c>
      <c r="I148" s="101">
        <f>C148-D148</f>
        <v>0</v>
      </c>
      <c r="K148" s="154"/>
      <c r="L148" s="102"/>
    </row>
    <row r="149" spans="1:12" s="114" customFormat="1" ht="18.75">
      <c r="A149" s="108" t="s">
        <v>98</v>
      </c>
      <c r="B149" s="164">
        <v>89.4</v>
      </c>
      <c r="C149" s="109">
        <v>162.3</v>
      </c>
      <c r="D149" s="110">
        <f>46.4+43</f>
        <v>89.4</v>
      </c>
      <c r="E149" s="113">
        <f>D149/D107*100</f>
        <v>0.05408796736329631</v>
      </c>
      <c r="F149" s="100">
        <f t="shared" si="19"/>
        <v>100</v>
      </c>
      <c r="G149" s="100">
        <f t="shared" si="14"/>
        <v>55.08317929759704</v>
      </c>
      <c r="H149" s="101">
        <f t="shared" si="18"/>
        <v>0</v>
      </c>
      <c r="I149" s="101">
        <f t="shared" si="16"/>
        <v>72.9</v>
      </c>
      <c r="K149" s="154"/>
      <c r="L149" s="102"/>
    </row>
    <row r="150" spans="1:12" s="114" customFormat="1" ht="18" customHeight="1">
      <c r="A150" s="108" t="s">
        <v>77</v>
      </c>
      <c r="B150" s="164">
        <v>6260.2</v>
      </c>
      <c r="C150" s="109">
        <f>10563.8+657.7</f>
        <v>11221.5</v>
      </c>
      <c r="D150" s="110">
        <f>791.9+575.3+777.6+830.9+722.1+47.7+657.7+821-47.6+744.9</f>
        <v>5921.499999999999</v>
      </c>
      <c r="E150" s="113">
        <f>D150/D107*100</f>
        <v>3.582571574292607</v>
      </c>
      <c r="F150" s="100">
        <f t="shared" si="19"/>
        <v>94.58962972428995</v>
      </c>
      <c r="G150" s="100">
        <f t="shared" si="14"/>
        <v>52.76923762420353</v>
      </c>
      <c r="H150" s="101">
        <f t="shared" si="18"/>
        <v>338.7000000000007</v>
      </c>
      <c r="I150" s="101">
        <f t="shared" si="16"/>
        <v>5300.000000000001</v>
      </c>
      <c r="K150" s="154"/>
      <c r="L150" s="102"/>
    </row>
    <row r="151" spans="1:12" s="114" customFormat="1" ht="19.5" customHeight="1">
      <c r="A151" s="148" t="s">
        <v>50</v>
      </c>
      <c r="B151" s="166">
        <f>151473.2+1011+432.7+12+24.2-2399</f>
        <v>150554.10000000003</v>
      </c>
      <c r="C151" s="149">
        <f>350771.5+40351.1-7680.2+12</f>
        <v>383454.39999999997</v>
      </c>
      <c r="D151" s="150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</f>
        <v>85652</v>
      </c>
      <c r="E151" s="151">
        <f>D151/D107*100</f>
        <v>51.82038680761807</v>
      </c>
      <c r="F151" s="152">
        <f t="shared" si="19"/>
        <v>56.891177324297374</v>
      </c>
      <c r="G151" s="152">
        <f t="shared" si="14"/>
        <v>22.33694540993662</v>
      </c>
      <c r="H151" s="153">
        <f t="shared" si="18"/>
        <v>64902.100000000035</v>
      </c>
      <c r="I151" s="153">
        <f>C151-D151</f>
        <v>297802.39999999997</v>
      </c>
      <c r="K151" s="154"/>
      <c r="L151" s="102"/>
    </row>
    <row r="152" spans="1:12" s="114" customFormat="1" ht="18.75">
      <c r="A152" s="108" t="s">
        <v>99</v>
      </c>
      <c r="B152" s="164">
        <v>21116.2</v>
      </c>
      <c r="C152" s="109">
        <v>42232</v>
      </c>
      <c r="D152" s="110">
        <f>819+819+819.1+1062.3+1173.1+1173.1+1173.2+1173.1+1173.1+1173.2+1173.1+1173.1+1173.2+1173.1+1173.1+1173.1+1173.1+1173.1</f>
        <v>19943.1</v>
      </c>
      <c r="E152" s="113">
        <f>D152/D107*100</f>
        <v>12.065791296677343</v>
      </c>
      <c r="F152" s="100">
        <f t="shared" si="17"/>
        <v>94.44454968223448</v>
      </c>
      <c r="G152" s="100">
        <f t="shared" si="14"/>
        <v>47.22272210645955</v>
      </c>
      <c r="H152" s="101">
        <f t="shared" si="18"/>
        <v>1173.1000000000022</v>
      </c>
      <c r="I152" s="101">
        <f t="shared" si="16"/>
        <v>22288.9</v>
      </c>
      <c r="K152" s="154"/>
      <c r="L152" s="102"/>
    </row>
    <row r="153" spans="1:12" s="2" customFormat="1" ht="19.5" thickBot="1">
      <c r="A153" s="29" t="s">
        <v>29</v>
      </c>
      <c r="B153" s="165"/>
      <c r="C153" s="64"/>
      <c r="D153" s="45">
        <f>D43+D69+D72+D77+D79+D87+D102+D107+D100+D84+D98</f>
        <v>172878.69999999995</v>
      </c>
      <c r="E153" s="15"/>
      <c r="F153" s="15"/>
      <c r="G153" s="6"/>
      <c r="H153" s="53"/>
      <c r="I153" s="45"/>
      <c r="K153" s="154"/>
      <c r="L153" s="33"/>
    </row>
    <row r="154" spans="1:12" ht="19.5" thickBot="1">
      <c r="A154" s="12" t="s">
        <v>18</v>
      </c>
      <c r="B154" s="41">
        <f>B6+B18+B33+B43+B51+B59+B69+B72+B77+B79+B87+B90+B95+B102+B107+B100+B84+B98+B45</f>
        <v>1111652</v>
      </c>
      <c r="C154" s="41">
        <f>C6+C18+C33+C43+C51+C59+C69+C72+C77+C79+C87+C90+C95+C102+C107+C100+C84+C98+C45</f>
        <v>2171224.499999999</v>
      </c>
      <c r="D154" s="41">
        <f>D6+D18+D33+D43+D51+D59+D69+D72+D77+D79+D87+D90+D95+D102+D107+D100+D84+D98+D45</f>
        <v>905997.9999999997</v>
      </c>
      <c r="E154" s="28">
        <v>100</v>
      </c>
      <c r="F154" s="3">
        <f>D154/B154*100</f>
        <v>81.50014572905906</v>
      </c>
      <c r="G154" s="3">
        <f aca="true" t="shared" si="20" ref="G154:G160">D154/C154*100</f>
        <v>41.7275136679786</v>
      </c>
      <c r="H154" s="41">
        <f aca="true" t="shared" si="21" ref="H154:H160">B154-D154</f>
        <v>205654.00000000035</v>
      </c>
      <c r="I154" s="41">
        <f aca="true" t="shared" si="22" ref="I154:I160">C154-D154</f>
        <v>1265226.4999999995</v>
      </c>
      <c r="K154" s="180"/>
      <c r="L154" s="34"/>
    </row>
    <row r="155" spans="1:12" ht="18.75">
      <c r="A155" s="16" t="s">
        <v>5</v>
      </c>
      <c r="B155" s="52">
        <f>B8+B20+B34+B52+B60+B91+B115+B120+B46+B142+B133+B103</f>
        <v>509364.69999999995</v>
      </c>
      <c r="C155" s="52">
        <f>C8+C20+C34+C52+C60+C91+C115+C120+C46+C142+C133+C103</f>
        <v>896180.8</v>
      </c>
      <c r="D155" s="52">
        <f>D8+D20+D34+D52+D60+D91+D115+D120+D46+D142+D133+D103</f>
        <v>438479.9100000001</v>
      </c>
      <c r="E155" s="6">
        <f>D155/D154*100</f>
        <v>48.397447897236006</v>
      </c>
      <c r="F155" s="6">
        <f aca="true" t="shared" si="23" ref="F155:F160">D155/B155*100</f>
        <v>86.08368620754445</v>
      </c>
      <c r="G155" s="6">
        <f t="shared" si="20"/>
        <v>48.92761706120016</v>
      </c>
      <c r="H155" s="53">
        <f t="shared" si="21"/>
        <v>70884.78999999986</v>
      </c>
      <c r="I155" s="63">
        <f t="shared" si="22"/>
        <v>457700.88999999996</v>
      </c>
      <c r="K155" s="154"/>
      <c r="L155" s="34"/>
    </row>
    <row r="156" spans="1:12" ht="18.75">
      <c r="A156" s="16" t="s">
        <v>0</v>
      </c>
      <c r="B156" s="53">
        <f>B11+B23+B36+B55+B62+B92+B49+B143+B109+B112+B96+B140+B129</f>
        <v>64011.899999999994</v>
      </c>
      <c r="C156" s="53">
        <f>C11+C23+C36+C55+C62+C92+C49+C143+C109+C112+C96+C140+C129</f>
        <v>110563.99999999999</v>
      </c>
      <c r="D156" s="53">
        <f>D11+D23+D36+D55+D62+D92+D49+D143+D109+D112+D96+D140+D129</f>
        <v>60332.799999999974</v>
      </c>
      <c r="E156" s="6">
        <f>D156/D154*100</f>
        <v>6.6592641484859785</v>
      </c>
      <c r="F156" s="6">
        <f t="shared" si="23"/>
        <v>94.25247493044259</v>
      </c>
      <c r="G156" s="6">
        <f t="shared" si="20"/>
        <v>54.56821388517057</v>
      </c>
      <c r="H156" s="53">
        <f>B156-D156</f>
        <v>3679.1000000000204</v>
      </c>
      <c r="I156" s="63">
        <f t="shared" si="22"/>
        <v>50231.20000000001</v>
      </c>
      <c r="K156" s="154"/>
      <c r="L156" s="70"/>
    </row>
    <row r="157" spans="1:12" ht="18.75">
      <c r="A157" s="16" t="s">
        <v>1</v>
      </c>
      <c r="B157" s="52">
        <f>B22+B10+B54+B48+B61+B35+B124</f>
        <v>24626.999999999996</v>
      </c>
      <c r="C157" s="52">
        <f>C22+C10+C54+C48+C61+C35+C124</f>
        <v>45915.9</v>
      </c>
      <c r="D157" s="52">
        <f>D22+D10+D54+D48+D61+D35+D124</f>
        <v>15315.299999999997</v>
      </c>
      <c r="E157" s="6">
        <f>D157/D154*100</f>
        <v>1.6904341952189743</v>
      </c>
      <c r="F157" s="6">
        <f t="shared" si="23"/>
        <v>62.18906078694116</v>
      </c>
      <c r="G157" s="6">
        <f t="shared" si="20"/>
        <v>33.35511228136658</v>
      </c>
      <c r="H157" s="53">
        <f t="shared" si="21"/>
        <v>9311.699999999999</v>
      </c>
      <c r="I157" s="63">
        <f t="shared" si="22"/>
        <v>30600.600000000006</v>
      </c>
      <c r="K157" s="154"/>
      <c r="L157" s="34"/>
    </row>
    <row r="158" spans="1:12" ht="21" customHeight="1">
      <c r="A158" s="16" t="s">
        <v>14</v>
      </c>
      <c r="B158" s="52">
        <f>B12+B24+B104+B63+B38+B93+B131+B56+B138+B118</f>
        <v>16083.800000000001</v>
      </c>
      <c r="C158" s="52">
        <f>C12+C24+C104+C63+C38+C93+C131+C56+C138+C118</f>
        <v>30229.899999999998</v>
      </c>
      <c r="D158" s="52">
        <f>D12+D24+D104+D63+D38+D93+D131+D56+D138+D118</f>
        <v>13604.4</v>
      </c>
      <c r="E158" s="6">
        <f>D158/D154*100</f>
        <v>1.501592718747724</v>
      </c>
      <c r="F158" s="6">
        <f t="shared" si="23"/>
        <v>84.58448874022308</v>
      </c>
      <c r="G158" s="6">
        <f t="shared" si="20"/>
        <v>45.00312604408219</v>
      </c>
      <c r="H158" s="53">
        <f>B158-D158</f>
        <v>2479.4000000000015</v>
      </c>
      <c r="I158" s="63">
        <f t="shared" si="22"/>
        <v>16625.5</v>
      </c>
      <c r="K158" s="154"/>
      <c r="L158" s="70"/>
    </row>
    <row r="159" spans="1:12" ht="18.75">
      <c r="A159" s="16" t="s">
        <v>2</v>
      </c>
      <c r="B159" s="52">
        <f>B9+B21+B47+B53+B123</f>
        <v>31.6</v>
      </c>
      <c r="C159" s="52">
        <f>C9+C21+C47+C53+C123</f>
        <v>113.10000000000001</v>
      </c>
      <c r="D159" s="52">
        <f>D9+D21+D47+D53+D123</f>
        <v>21.3</v>
      </c>
      <c r="E159" s="6">
        <f>D159/D154*100</f>
        <v>0.0023509985673257567</v>
      </c>
      <c r="F159" s="6">
        <f t="shared" si="23"/>
        <v>67.40506329113924</v>
      </c>
      <c r="G159" s="6">
        <f t="shared" si="20"/>
        <v>18.83289124668435</v>
      </c>
      <c r="H159" s="53">
        <f t="shared" si="21"/>
        <v>10.3</v>
      </c>
      <c r="I159" s="63">
        <f t="shared" si="22"/>
        <v>91.80000000000001</v>
      </c>
      <c r="K159" s="154"/>
      <c r="L159" s="34"/>
    </row>
    <row r="160" spans="1:12" ht="19.5" thickBot="1">
      <c r="A160" s="89" t="s">
        <v>27</v>
      </c>
      <c r="B160" s="65">
        <f>B154-B155-B156-B157-B158-B159</f>
        <v>497533.00000000006</v>
      </c>
      <c r="C160" s="65">
        <f>C154-C155-C156-C157-C158-C159</f>
        <v>1088220.799999999</v>
      </c>
      <c r="D160" s="65">
        <f>D154-D155-D156-D157-D158-D159</f>
        <v>378244.2899999996</v>
      </c>
      <c r="E160" s="31">
        <f>D160/D154*100</f>
        <v>41.74891004174399</v>
      </c>
      <c r="F160" s="31">
        <f t="shared" si="23"/>
        <v>76.02396021972402</v>
      </c>
      <c r="G160" s="31">
        <f t="shared" si="20"/>
        <v>34.75804634500644</v>
      </c>
      <c r="H160" s="90">
        <f t="shared" si="21"/>
        <v>119288.71000000049</v>
      </c>
      <c r="I160" s="90">
        <f t="shared" si="22"/>
        <v>709976.5099999995</v>
      </c>
      <c r="K160" s="154"/>
      <c r="L160" s="70"/>
    </row>
    <row r="161" spans="7:8" ht="12.75">
      <c r="G161" s="18"/>
      <c r="H161" s="18"/>
    </row>
    <row r="162" spans="3:11" ht="12.75">
      <c r="C162" s="154"/>
      <c r="G162" s="18"/>
      <c r="H162" s="18"/>
      <c r="I162" s="18"/>
      <c r="K162" s="96"/>
    </row>
    <row r="163" spans="7:11" ht="12.75">
      <c r="G163" s="18"/>
      <c r="H163" s="18"/>
      <c r="K163" s="96"/>
    </row>
    <row r="164" spans="7:11" ht="12.75">
      <c r="G164" s="18"/>
      <c r="H164" s="18"/>
      <c r="K164" s="96"/>
    </row>
    <row r="165" spans="4:8" ht="12.75">
      <c r="D165" s="154"/>
      <c r="G165" s="18"/>
      <c r="H165" s="18"/>
    </row>
    <row r="166" spans="2:8" ht="12.75">
      <c r="B166" s="158"/>
      <c r="C166" s="159"/>
      <c r="G166" s="18"/>
      <c r="H166" s="18"/>
    </row>
    <row r="167" spans="2:8" ht="12.75">
      <c r="B167" s="93"/>
      <c r="C167" s="93"/>
      <c r="D167" s="93"/>
      <c r="G167" s="18"/>
      <c r="H167" s="18"/>
    </row>
    <row r="168" spans="2:8" ht="12.75">
      <c r="B168" s="93"/>
      <c r="G168" s="18"/>
      <c r="H168" s="18"/>
    </row>
    <row r="169" spans="2:8" ht="12.75">
      <c r="B169" s="93"/>
      <c r="C169" s="154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4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2171224.499999999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905997.9999999997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2171224.499999999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905997.9999999997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2018-06-15T11:30:11Z</cp:lastPrinted>
  <dcterms:created xsi:type="dcterms:W3CDTF">2000-06-20T04:48:00Z</dcterms:created>
  <dcterms:modified xsi:type="dcterms:W3CDTF">2018-06-22T11:22:38Z</dcterms:modified>
  <cp:category/>
  <cp:version/>
  <cp:contentType/>
  <cp:contentStatus/>
</cp:coreProperties>
</file>